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 codeName="DieseArbeitsmappe"/>
  <mc:AlternateContent>
    <mc:Choice Requires="x15">
      <x15ac:absPath xmlns:x15ac="http://schemas.microsoft.com/office/spreadsheetml/2010/11/ac" url="https://team.intern.adns/websites/Bk9/Grundsatzfragen/Transformation der Gasnetze/Anlage A/"/>
    </mc:Choice>
  </mc:AlternateContent>
  <xr:revisionPtr revIDLastSave="0" documentId="13_ncr:1_{FCA27A87-1AA8-47A5-B017-1EE8166CBAD9}" xr6:coauthVersionLast="47" xr6:coauthVersionMax="47" xr10:uidLastSave="{00000000-0000-0000-0000-000000000000}"/>
  <bookViews>
    <workbookView xWindow="-120" yWindow="-120" windowWidth="29040" windowHeight="17280" tabRatio="881" xr2:uid="{00000000-000D-0000-FFFF-FFFF00000000}"/>
  </bookViews>
  <sheets>
    <sheet name="A1_EOG_TFE" sheetId="83" r:id="rId1"/>
    <sheet name="A2_KKAb" sheetId="58" r:id="rId2"/>
    <sheet name="Parameter" sheetId="46" r:id="rId3"/>
  </sheets>
  <externalReferences>
    <externalReference r:id="rId4"/>
  </externalReferences>
  <definedNames>
    <definedName name="_xlnm._FilterDatabase" localSheetId="0" hidden="1">A1_EOG_TFE!#REF!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_xlnm.Print_Area" localSheetId="0">A1_EOG_TFE!$B$1:$J$13,A1_EOG_TFE!#REF!,A1_EOG_TFE!$A$14:$I$32</definedName>
    <definedName name="NetzId" hidden="1">OFFSET([1]A_Stammdaten!$I$6,0,0,COUNTA([1]A_Stammdaten!$I$6:$I$105),1)</definedName>
    <definedName name="Schlüssel" hidden="1">OFFSET([1]A2_Schlüssel!$B$3,0,0,COUNTA([1]A2_Schlüssel!$B$3:$B$102),1)</definedName>
    <definedName name="Z_340FE5FC_BDBD_4E34_B325_045BE6AECF89_.wvu.PrintArea" localSheetId="0" hidden="1">A1_EOG_TFE!$A$5:$M$13</definedName>
    <definedName name="Z_340FE5FC_BDBD_4E34_B325_045BE6AECF89_.wvu.Rows" localSheetId="0" hidden="1">A1_EOG_TFE!#REF!,A1_EOG_TFE!#REF!,A1_EOG_TFE!#REF!</definedName>
    <definedName name="Z_584C8BAE_7F2A_46FF_8D96_2C5D9386BC21_.wvu.Rows" localSheetId="0" hidden="1">A1_EOG_TFE!#REF!,A1_EOG_TFE!#REF!,A1_EOG_TFE!#REF!</definedName>
    <definedName name="Z_BD34DE52_ADB5_4E56_BFB1_262C0996E355_.wvu.Rows" localSheetId="0" hidden="1">A1_EOG_TFE!#REF!,A1_EOG_TFE!#REF!,A1_EOG_TFE!#REF!</definedName>
    <definedName name="Z_C38566EE_89AB_4D99_ACBD_6CB7080109F3_.wvu.Rows" localSheetId="0" hidden="1">A1_EOG_TFE!#REF!,A1_EOG_TFE!#REF!,A1_EOG_TFE!#REF!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24" i="58" l="1"/>
  <c r="R9" i="58"/>
  <c r="N36" i="58" l="1"/>
  <c r="N30" i="58"/>
  <c r="N24" i="58"/>
  <c r="N22" i="58" l="1"/>
  <c r="M24" i="58"/>
  <c r="O24" i="58"/>
  <c r="E16" i="83" l="1"/>
  <c r="I16" i="83" l="1"/>
  <c r="G16" i="83"/>
  <c r="D15" i="83"/>
  <c r="H12" i="83"/>
  <c r="H11" i="83"/>
  <c r="H10" i="83"/>
  <c r="D8" i="83"/>
  <c r="D9" i="83" s="1"/>
  <c r="D10" i="83" s="1"/>
  <c r="D11" i="83" l="1"/>
  <c r="I28" i="83" s="1"/>
  <c r="D26" i="83"/>
  <c r="D28" i="83"/>
  <c r="H9" i="83"/>
  <c r="E28" i="83" l="1"/>
  <c r="G28" i="83"/>
  <c r="D12" i="83"/>
  <c r="D18" i="83" l="1"/>
  <c r="D21" i="83" s="1"/>
  <c r="I22" i="83" l="1"/>
  <c r="E22" i="83"/>
  <c r="G22" i="83"/>
  <c r="Q7" i="58" l="1"/>
  <c r="Q9" i="58"/>
  <c r="Q8" i="58" s="1"/>
  <c r="Q10" i="58"/>
  <c r="Q11" i="58"/>
  <c r="Q13" i="58"/>
  <c r="Q12" i="58" s="1"/>
  <c r="P19" i="58"/>
  <c r="Q19" i="58"/>
  <c r="P22" i="58"/>
  <c r="Q22" i="58"/>
  <c r="P24" i="58"/>
  <c r="Q24" i="58" s="1"/>
  <c r="P28" i="58"/>
  <c r="Q28" i="58"/>
  <c r="P30" i="58"/>
  <c r="P27" i="58" s="1"/>
  <c r="P34" i="58"/>
  <c r="P33" i="58" s="1"/>
  <c r="Q34" i="58"/>
  <c r="P36" i="58"/>
  <c r="P51" i="58"/>
  <c r="Q51" i="58"/>
  <c r="Q36" i="58" l="1"/>
  <c r="Q33" i="58" s="1"/>
  <c r="P21" i="58"/>
  <c r="Q30" i="58"/>
  <c r="Q27" i="58" s="1"/>
  <c r="Q14" i="58"/>
  <c r="Q21" i="58"/>
  <c r="O13" i="58"/>
  <c r="M36" i="58"/>
  <c r="M30" i="58"/>
  <c r="O51" i="58"/>
  <c r="N51" i="58"/>
  <c r="O36" i="58"/>
  <c r="O34" i="58"/>
  <c r="N34" i="58"/>
  <c r="O30" i="58"/>
  <c r="O28" i="58"/>
  <c r="N28" i="58"/>
  <c r="O22" i="58"/>
  <c r="O19" i="58"/>
  <c r="M19" i="58"/>
  <c r="N19" i="58"/>
  <c r="L19" i="58"/>
  <c r="V7" i="58"/>
  <c r="V19" i="58" s="1"/>
  <c r="O7" i="58"/>
  <c r="T7" i="58" s="1"/>
  <c r="T19" i="58" s="1"/>
  <c r="M7" i="58"/>
  <c r="R7" i="58" s="1"/>
  <c r="R19" i="58" s="1"/>
  <c r="F31" i="58" l="1"/>
  <c r="E31" i="58"/>
  <c r="G25" i="58" l="1"/>
  <c r="G23" i="58"/>
  <c r="H73" i="58" l="1"/>
  <c r="G54" i="58" l="1"/>
  <c r="J54" i="58" s="1"/>
  <c r="G52" i="58"/>
  <c r="H54" i="58" l="1"/>
  <c r="H68" i="58" l="1"/>
  <c r="T51" i="58" l="1"/>
  <c r="V51" i="58"/>
  <c r="R51" i="58"/>
  <c r="T36" i="58" l="1"/>
  <c r="V36" i="58"/>
  <c r="R11" i="58" l="1"/>
  <c r="T11" i="58"/>
  <c r="V11" i="58"/>
  <c r="R36" i="58" l="1"/>
  <c r="O8" i="58"/>
  <c r="M8" i="58"/>
  <c r="G61" i="58" l="1"/>
  <c r="M33" i="58" l="1"/>
  <c r="T34" i="58"/>
  <c r="N33" i="58"/>
  <c r="O33" i="58"/>
  <c r="L33" i="58"/>
  <c r="R34" i="58"/>
  <c r="V34" i="58"/>
  <c r="O12" i="58" l="1"/>
  <c r="O14" i="58" s="1"/>
  <c r="T13" i="58"/>
  <c r="L27" i="58"/>
  <c r="O27" i="58"/>
  <c r="M12" i="58"/>
  <c r="M14" i="58" s="1"/>
  <c r="R13" i="58"/>
  <c r="L21" i="58"/>
  <c r="O21" i="58"/>
  <c r="N21" i="58"/>
  <c r="V13" i="58"/>
  <c r="M27" i="58"/>
  <c r="N27" i="58"/>
  <c r="M21" i="58"/>
  <c r="V12" i="58" l="1"/>
  <c r="T12" i="58"/>
  <c r="R12" i="58"/>
  <c r="J11" i="58" l="1"/>
  <c r="H8" i="58" l="1"/>
  <c r="T37" i="58" l="1"/>
  <c r="V37" i="58"/>
  <c r="R37" i="58"/>
  <c r="G37" i="58"/>
  <c r="G35" i="58"/>
  <c r="G34" i="58"/>
  <c r="R33" i="58" l="1"/>
  <c r="T33" i="58"/>
  <c r="V33" i="58"/>
  <c r="G28" i="58"/>
  <c r="G22" i="58"/>
  <c r="G29" i="58"/>
  <c r="J13" i="58"/>
  <c r="J12" i="58" s="1"/>
  <c r="H12" i="58"/>
  <c r="H14" i="58" s="1"/>
  <c r="H67" i="58" l="1"/>
  <c r="G51" i="58" l="1"/>
  <c r="J51" i="58" l="1"/>
  <c r="H51" i="58"/>
  <c r="G24" i="58" l="1"/>
  <c r="F33" i="58"/>
  <c r="E33" i="58"/>
  <c r="F21" i="58" l="1"/>
  <c r="F27" i="58"/>
  <c r="E21" i="58"/>
  <c r="G36" i="58"/>
  <c r="E27" i="58"/>
  <c r="G30" i="58"/>
  <c r="G27" i="58" l="1"/>
  <c r="G33" i="58"/>
  <c r="J33" i="58" s="1"/>
  <c r="G21" i="58"/>
  <c r="H21" i="58" s="1"/>
  <c r="H33" i="58" l="1"/>
  <c r="H20" i="58" s="1"/>
  <c r="H39" i="58" l="1"/>
  <c r="G44" i="58" l="1"/>
  <c r="F53" i="58"/>
  <c r="E53" i="58"/>
  <c r="G42" i="58"/>
  <c r="E43" i="58" l="1"/>
  <c r="J44" i="58"/>
  <c r="G46" i="58"/>
  <c r="J46" i="58" s="1"/>
  <c r="F43" i="58"/>
  <c r="J42" i="58"/>
  <c r="H42" i="58"/>
  <c r="G53" i="58" l="1"/>
  <c r="J52" i="58"/>
  <c r="J53" i="58" s="1"/>
  <c r="H52" i="58"/>
  <c r="H53" i="58" s="1"/>
  <c r="G43" i="58"/>
  <c r="H43" i="58" s="1"/>
  <c r="G47" i="58"/>
  <c r="J47" i="58" l="1"/>
  <c r="G45" i="58"/>
  <c r="J45" i="58" s="1"/>
  <c r="J43" i="58" l="1"/>
  <c r="H48" i="58" l="1"/>
  <c r="H55" i="58" l="1"/>
  <c r="H19" i="58" l="1"/>
  <c r="R30" i="58" l="1"/>
  <c r="T31" i="58"/>
  <c r="V31" i="58"/>
  <c r="R31" i="58"/>
  <c r="V25" i="58"/>
  <c r="R25" i="58"/>
  <c r="T25" i="58"/>
  <c r="T22" i="58"/>
  <c r="T24" i="58"/>
  <c r="T28" i="58"/>
  <c r="T30" i="58"/>
  <c r="R22" i="58"/>
  <c r="V22" i="58"/>
  <c r="V24" i="58"/>
  <c r="V28" i="58"/>
  <c r="V30" i="58"/>
  <c r="R28" i="58"/>
  <c r="I10" i="58"/>
  <c r="J27" i="58"/>
  <c r="J21" i="58"/>
  <c r="R27" i="58" l="1"/>
  <c r="V21" i="58"/>
  <c r="R21" i="58"/>
  <c r="V27" i="58"/>
  <c r="T27" i="58"/>
  <c r="T21" i="58"/>
  <c r="V10" i="58"/>
  <c r="R10" i="58"/>
  <c r="T10" i="58"/>
  <c r="J20" i="58"/>
  <c r="I9" i="58"/>
  <c r="J10" i="58"/>
  <c r="V39" i="58" l="1"/>
  <c r="T39" i="58"/>
  <c r="R39" i="58"/>
  <c r="J9" i="58"/>
  <c r="V9" i="58"/>
  <c r="T9" i="58"/>
  <c r="J48" i="58"/>
  <c r="J39" i="58"/>
  <c r="J59" i="58" l="1"/>
  <c r="T59" i="58"/>
  <c r="J8" i="58"/>
  <c r="J14" i="58" s="1"/>
  <c r="R59" i="58"/>
  <c r="V59" i="58"/>
  <c r="V8" i="58"/>
  <c r="V14" i="58" s="1"/>
  <c r="J61" i="58"/>
  <c r="R8" i="58"/>
  <c r="R14" i="58" s="1"/>
  <c r="T8" i="58"/>
  <c r="T14" i="58" s="1"/>
  <c r="V40" i="58"/>
  <c r="R40" i="58"/>
  <c r="T40" i="58"/>
  <c r="J55" i="58"/>
  <c r="H66" i="58" s="1"/>
  <c r="R44" i="58" l="1"/>
  <c r="R45" i="58"/>
  <c r="R47" i="58"/>
  <c r="R46" i="58"/>
  <c r="R42" i="58"/>
  <c r="T47" i="58"/>
  <c r="T46" i="58"/>
  <c r="T45" i="58"/>
  <c r="T44" i="58"/>
  <c r="T42" i="58"/>
  <c r="V45" i="58"/>
  <c r="V44" i="58"/>
  <c r="V47" i="58"/>
  <c r="V46" i="58"/>
  <c r="V42" i="58"/>
  <c r="R15" i="58"/>
  <c r="T15" i="58"/>
  <c r="V15" i="58"/>
  <c r="J60" i="58"/>
  <c r="V60" i="58"/>
  <c r="T60" i="58"/>
  <c r="R60" i="58"/>
  <c r="J62" i="58"/>
  <c r="J19" i="58"/>
  <c r="J63" i="58" l="1"/>
  <c r="J66" i="58"/>
  <c r="V43" i="58" l="1"/>
  <c r="T43" i="58"/>
  <c r="R43" i="58"/>
  <c r="J64" i="58"/>
  <c r="J67" i="58"/>
  <c r="J68" i="58" l="1"/>
  <c r="J69" i="58" l="1"/>
  <c r="H81" i="58" s="1"/>
  <c r="J73" i="58" l="1"/>
  <c r="J81" i="58" l="1"/>
  <c r="V48" i="58" l="1"/>
  <c r="V49" i="58" s="1"/>
  <c r="R48" i="58"/>
  <c r="R49" i="58" s="1"/>
  <c r="R54" i="58" s="1"/>
  <c r="T48" i="58"/>
  <c r="T61" i="58" s="1"/>
  <c r="V54" i="58" l="1"/>
  <c r="V52" i="58"/>
  <c r="R52" i="58"/>
  <c r="T49" i="58"/>
  <c r="R61" i="58"/>
  <c r="V61" i="58"/>
  <c r="R77" i="58"/>
  <c r="V77" i="58"/>
  <c r="T54" i="58" l="1"/>
  <c r="T52" i="58"/>
  <c r="R78" i="58"/>
  <c r="V78" i="58"/>
  <c r="T77" i="58"/>
  <c r="T78" i="58" l="1"/>
  <c r="R53" i="58"/>
  <c r="V53" i="58"/>
  <c r="T53" i="58" l="1"/>
  <c r="V55" i="58"/>
  <c r="R55" i="58"/>
  <c r="T55" i="58" l="1"/>
  <c r="T62" i="58" s="1"/>
  <c r="R56" i="58"/>
  <c r="R62" i="58"/>
  <c r="V62" i="58"/>
  <c r="V56" i="58"/>
  <c r="T56" i="58" l="1"/>
  <c r="T66" i="58"/>
  <c r="T63" i="58"/>
  <c r="V66" i="58"/>
  <c r="V63" i="58"/>
  <c r="R66" i="58"/>
  <c r="R63" i="58"/>
  <c r="V67" i="58" l="1"/>
  <c r="T67" i="58"/>
  <c r="T64" i="58"/>
  <c r="R67" i="58"/>
  <c r="R64" i="58"/>
  <c r="V64" i="58"/>
  <c r="R68" i="58" l="1"/>
  <c r="R69" i="58" s="1"/>
  <c r="T68" i="58"/>
  <c r="T69" i="58" s="1"/>
  <c r="T70" i="58" s="1"/>
  <c r="V68" i="58"/>
  <c r="V69" i="58" s="1"/>
  <c r="V70" i="58" l="1"/>
  <c r="V73" i="58"/>
  <c r="R73" i="58"/>
  <c r="R81" i="58" s="1"/>
  <c r="R82" i="58" s="1"/>
  <c r="R70" i="58"/>
  <c r="T73" i="58"/>
  <c r="T74" i="58" s="1"/>
  <c r="V81" i="58" l="1"/>
  <c r="V82" i="58" s="1"/>
  <c r="N16" i="83" s="1"/>
  <c r="N15" i="83" s="1"/>
  <c r="I17" i="83" s="1"/>
  <c r="I18" i="83" s="1"/>
  <c r="V74" i="58"/>
  <c r="R74" i="58"/>
  <c r="T81" i="58"/>
  <c r="R83" i="58"/>
  <c r="I19" i="83" l="1"/>
  <c r="I20" i="83" s="1"/>
  <c r="I23" i="83" s="1"/>
  <c r="V86" i="58"/>
  <c r="K16" i="83"/>
  <c r="K15" i="83" s="1"/>
  <c r="E17" i="83" s="1"/>
  <c r="V83" i="58"/>
  <c r="T83" i="58"/>
  <c r="T82" i="58"/>
  <c r="T86" i="58" s="1"/>
  <c r="E18" i="83" l="1"/>
  <c r="E19" i="83" s="1"/>
  <c r="E20" i="83" s="1"/>
  <c r="E23" i="83" s="1"/>
  <c r="L16" i="83"/>
  <c r="L15" i="83" s="1"/>
  <c r="I26" i="83"/>
  <c r="I27" i="83" s="1"/>
  <c r="I29" i="83" s="1"/>
  <c r="I30" i="83" s="1"/>
  <c r="I32" i="83" s="1"/>
  <c r="G26" i="83"/>
  <c r="G27" i="83" s="1"/>
  <c r="G29" i="83" s="1"/>
  <c r="E26" i="83"/>
  <c r="E27" i="83" s="1"/>
  <c r="E29" i="83" s="1"/>
  <c r="G17" i="83" l="1"/>
  <c r="G18" i="83" s="1"/>
  <c r="G19" i="83" s="1"/>
  <c r="G20" i="83" s="1"/>
  <c r="G23" i="83" s="1"/>
  <c r="G30" i="83" s="1"/>
  <c r="G32" i="83" s="1"/>
  <c r="E30" i="83"/>
  <c r="E32" i="83" s="1"/>
  <c r="G34" i="83" l="1"/>
</calcChain>
</file>

<file path=xl/sharedStrings.xml><?xml version="1.0" encoding="utf-8"?>
<sst xmlns="http://schemas.openxmlformats.org/spreadsheetml/2006/main" count="254" uniqueCount="217">
  <si>
    <t>Name</t>
  </si>
  <si>
    <t>Sonstiges</t>
  </si>
  <si>
    <t>Kalkulatorische Gewerbesteuer</t>
  </si>
  <si>
    <t>WAV</t>
  </si>
  <si>
    <t>SAV</t>
  </si>
  <si>
    <t>1.3</t>
  </si>
  <si>
    <t>1.3.1</t>
  </si>
  <si>
    <t>1.3.2</t>
  </si>
  <si>
    <t>1.3.3</t>
  </si>
  <si>
    <t>1.3.4</t>
  </si>
  <si>
    <t>1.1</t>
  </si>
  <si>
    <t>1.1.1</t>
  </si>
  <si>
    <t>1.1.2</t>
  </si>
  <si>
    <t>1.2</t>
  </si>
  <si>
    <t>1.2.1</t>
  </si>
  <si>
    <t>1.2.2</t>
  </si>
  <si>
    <t>2</t>
  </si>
  <si>
    <t>3</t>
  </si>
  <si>
    <t>II.</t>
  </si>
  <si>
    <t>4</t>
  </si>
  <si>
    <t>Verfahrensart</t>
  </si>
  <si>
    <t>Regelverfahren</t>
  </si>
  <si>
    <t xml:space="preserve">Sonstiges </t>
  </si>
  <si>
    <t>3.2</t>
  </si>
  <si>
    <t>3.4</t>
  </si>
  <si>
    <t>III.</t>
  </si>
  <si>
    <t>IV.a</t>
  </si>
  <si>
    <t>IV.</t>
  </si>
  <si>
    <t>V.</t>
  </si>
  <si>
    <t>VI.a</t>
  </si>
  <si>
    <t>VI.</t>
  </si>
  <si>
    <t>VII.</t>
  </si>
  <si>
    <t>I.</t>
  </si>
  <si>
    <t>1.1.3</t>
  </si>
  <si>
    <t>1.1.4</t>
  </si>
  <si>
    <t>1.2.3</t>
  </si>
  <si>
    <t>1.2.4</t>
  </si>
  <si>
    <t>Finanzanlagen</t>
  </si>
  <si>
    <t>1.3.5</t>
  </si>
  <si>
    <t>Vorräte</t>
  </si>
  <si>
    <t>Forderungen und sonstige Vermögensgegenstände</t>
  </si>
  <si>
    <t>Wertpapiere</t>
  </si>
  <si>
    <t>Kassenbestand, Bundesbankguthaben, Guthaben bei Kreditinstituten und Schecks</t>
  </si>
  <si>
    <t>Erhaltene Baukostenzuschüsse einschließlich passivierter Leistungen der Anschlussnehmer zur Erstattung von Netzanschlusskosten</t>
  </si>
  <si>
    <t>1.1.5</t>
  </si>
  <si>
    <t>1.2.5</t>
  </si>
  <si>
    <t>Wert</t>
  </si>
  <si>
    <t>Fremdkapitalzinsen</t>
  </si>
  <si>
    <t>Endbestand</t>
  </si>
  <si>
    <t>EK1-Quote_Minimum</t>
  </si>
  <si>
    <t>EK1-Quote_Maximum</t>
  </si>
  <si>
    <t>EK2-Quote_Minimum</t>
  </si>
  <si>
    <t>EK2-Quote_Maximum</t>
  </si>
  <si>
    <t>EK-Zinssatz vor Kst, nach GewSt für Altanlagen</t>
  </si>
  <si>
    <t>EK-Zinssatz vor Kst, nach Gew.St für Neuanlagen</t>
  </si>
  <si>
    <t>EK-Zinssatz für das die Quote von 40 % übersteigende Eigenkapital</t>
  </si>
  <si>
    <t>Hebesatz</t>
  </si>
  <si>
    <t>Steuermesszahl</t>
  </si>
  <si>
    <t>Kalkulatorische Vermögens- und Finanzierungspositionen</t>
  </si>
  <si>
    <t>zur Ermittlung der EK-Quote nach § 6 GasNEV (EKQ I)</t>
  </si>
  <si>
    <t>zur Ermittlung des betriebsnotwendigen Eigenkapitals (BNEKII) und der EK-Quote (EKQ II) nach § 7 GasNEV</t>
  </si>
  <si>
    <t>Positionen</t>
  </si>
  <si>
    <t>Modul</t>
  </si>
  <si>
    <t>Anfangsbestand</t>
  </si>
  <si>
    <t>Mittelwert</t>
  </si>
  <si>
    <t>kalkulatorisches Anlagvermögen</t>
  </si>
  <si>
    <t>Altanlagen zu AK/HK</t>
  </si>
  <si>
    <t>x ( 1 - EKQ I )</t>
  </si>
  <si>
    <t xml:space="preserve">Immaterielle Vermögensgegenstände des Anlagevermögens </t>
  </si>
  <si>
    <t xml:space="preserve">Sachanlagevermögen zu AK/HK  </t>
  </si>
  <si>
    <t>Grundstücke zu AK/HK</t>
  </si>
  <si>
    <t>Altanlagen zu TNW</t>
  </si>
  <si>
    <t>x EKQ I</t>
  </si>
  <si>
    <t>Immaterielle Vermögensgegenstände des Anlagevermögens</t>
  </si>
  <si>
    <t xml:space="preserve">Geleistete Anzahlungen und Anlagen im Bau </t>
  </si>
  <si>
    <t xml:space="preserve">Sachanlagevermögen zu TNW  </t>
  </si>
  <si>
    <t>Neuanlagen zu AK/HK</t>
  </si>
  <si>
    <t xml:space="preserve">Immaterielle Vermögensgegenstände </t>
  </si>
  <si>
    <t xml:space="preserve">Kalkulatorische Restwerte des Sachanlagevermögens zu AK/HK </t>
  </si>
  <si>
    <t xml:space="preserve">Grundstücke zu AK/HK </t>
  </si>
  <si>
    <t>Bilanz</t>
  </si>
  <si>
    <t>Bilanzwerte des Umlaufvermögens</t>
  </si>
  <si>
    <t xml:space="preserve">3.1 </t>
  </si>
  <si>
    <t>3.3</t>
  </si>
  <si>
    <t>Betriebsnotwendiges Vermögen</t>
  </si>
  <si>
    <t>1 + 2 + 3</t>
  </si>
  <si>
    <t>BKZ</t>
  </si>
  <si>
    <t>Abzugskapital</t>
  </si>
  <si>
    <t>Verzinsliches Fremdkapital</t>
  </si>
  <si>
    <t>Betriebsnotwendiges Eigenkapital gem. § 6 bzw. § 7 GasNEV</t>
  </si>
  <si>
    <t>I. - II. - III.</t>
  </si>
  <si>
    <t>Berechnung der kalkulatorischen EK-Verzinsung</t>
  </si>
  <si>
    <t>Betriebsnotwendiges Eigenkapital gem. § 7 GasNEV bei einer Quote von 40 %</t>
  </si>
  <si>
    <t>Betriebsnotwendiges Eigenkapital gemäß § 7 GasNEV bis zu einer Quote von 40 % - davon entfallend auf Altanlagen</t>
  </si>
  <si>
    <t>Min(IV.;V.) * Restwertanteil der Altanlagen</t>
  </si>
  <si>
    <t>IV.b</t>
  </si>
  <si>
    <t>Betriebsnotwendiges Eigenkapital gemäß § 7 GasNEV bis zu einer Quote von 40 % - davon entfallend auf Neuanlagen</t>
  </si>
  <si>
    <t>Min(IV.;V.) - IV.a</t>
  </si>
  <si>
    <t>IV.c</t>
  </si>
  <si>
    <t>Betriebsnotwendiges Eigenkapital gemäß § 7 GasNEV über einer Quote von 40 %</t>
  </si>
  <si>
    <t>Kalkulatorische Eigenkapitalverzinsung bis zu einer Quote von 40 % - davon entfallend auf Altanlagen</t>
  </si>
  <si>
    <t>VI.b</t>
  </si>
  <si>
    <t>Kalkulatorische Eigenkapitalverzinsung bis zu einer Quote von 40 % - davon entfallend auf Neuanlagen</t>
  </si>
  <si>
    <t>VI.c</t>
  </si>
  <si>
    <t>Kalkulatorische Eigenkapitalverzinsung über einer Quote von 40 %</t>
  </si>
  <si>
    <t>Kalkulatorische Eigenkapitalverzinsung GESAMT</t>
  </si>
  <si>
    <t>Berechnung der kalkulatorischen Gewerbesteuer</t>
  </si>
  <si>
    <t>für Altanlagen zu AK/HK, AJ &lt; 2006</t>
  </si>
  <si>
    <t>für Altanlagen zu TNW, AJ &lt; 2006</t>
  </si>
  <si>
    <t>Kalkulatorische Abschreibungen nach § 6 GasNEV</t>
  </si>
  <si>
    <t>Entwicklung der kalkulatorischen Abschreibungen in %</t>
  </si>
  <si>
    <t>Geleistete Anzahlungen und Anlagen im Bau</t>
  </si>
  <si>
    <t>kalkulatorisches (Sach)anlagvermögens nach § 7 GasNEV</t>
  </si>
  <si>
    <t>Entwicklung des (Sach)anlagevermögens in %</t>
  </si>
  <si>
    <t>Entwicklung des betriebsnotwendigen Vermögens in %</t>
  </si>
  <si>
    <t>II.a</t>
  </si>
  <si>
    <t>Abzugskapital exkl. BKZ/NAKB</t>
  </si>
  <si>
    <t xml:space="preserve">Entwicklung des betriebsnotwendigen Eigenkapitals in % </t>
  </si>
  <si>
    <t>Restwertanteil der Altanlagen</t>
  </si>
  <si>
    <t>Restwertanteil der Neuanlagen</t>
  </si>
  <si>
    <t>Entwicklung des kalkulatorischen EK-Verzinsung in %</t>
  </si>
  <si>
    <t>Entwicklung der kalkulatorischen Gewerbesteuer in %</t>
  </si>
  <si>
    <t>Entwicklung der Fremdkapitalzinsen in %</t>
  </si>
  <si>
    <t>Kapitalkosten nach § 6 Abs. 3 ARegV</t>
  </si>
  <si>
    <t>Kapitalkostenabzug nach § 6 Abs. 3 ARegV</t>
  </si>
  <si>
    <t>31.12.2019 bzw. 1.1.2020</t>
  </si>
  <si>
    <t>Berechnung des betriebsnotwendigen Eigenkapitals</t>
  </si>
  <si>
    <t>Kalkulatorische Abschreibungen des Sachanlagevermögensnach § 6 GasNEV</t>
  </si>
  <si>
    <t>Berechnung der Abschreibungen</t>
  </si>
  <si>
    <t>Abschreibungen des weiteren Anlagevermögens</t>
  </si>
  <si>
    <t>für immaterielles Anlagevermögen</t>
  </si>
  <si>
    <t>Anteil (EKQ I)</t>
  </si>
  <si>
    <t>Berechnung der Fremdkapitalzinsen</t>
  </si>
  <si>
    <t>I.1</t>
  </si>
  <si>
    <t>für Neuanlagen zu AK/HK, AJ &gt;= 2006</t>
  </si>
  <si>
    <t>Berechnung des Kapitalkostenabzugs</t>
  </si>
  <si>
    <t>IV. - IV.a - IV.b</t>
  </si>
  <si>
    <t>II.a + 4</t>
  </si>
  <si>
    <t>TFE Jahr</t>
  </si>
  <si>
    <t>Basisjahr</t>
  </si>
  <si>
    <t>Neue zusätzliche Abschreibungen</t>
  </si>
  <si>
    <t>KKAb,alt</t>
  </si>
  <si>
    <t>KKAb,neu2</t>
  </si>
  <si>
    <t>Ausfülllegende</t>
  </si>
  <si>
    <t>Eingaben aus KANU 2.0 Berechnung</t>
  </si>
  <si>
    <t>Entwicklung der Kapitalkosten in %</t>
  </si>
  <si>
    <t>Differenz der Kapitalkosten</t>
  </si>
  <si>
    <t>A1 Kalenderjährliche Erlösobergrenzen</t>
  </si>
  <si>
    <t xml:space="preserve"> 1. Zusammenfassung (4. Regulierungsperiode)</t>
  </si>
  <si>
    <t>1.1 Daten der Regulierungsperiode</t>
  </si>
  <si>
    <t>1.2 Jahresdaten</t>
  </si>
  <si>
    <t>Jahr</t>
  </si>
  <si>
    <r>
      <t>Verteilungsfaktor nach 
§ 16 Abs. 1 ARegV  (V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)</t>
    </r>
  </si>
  <si>
    <r>
      <t>Verteilungsfaktor nach
§ 16 Abs. 2 ARegV
[V</t>
    </r>
    <r>
      <rPr>
        <vertAlign val="subscript"/>
        <sz val="11"/>
        <color theme="1"/>
        <rFont val="Calibri"/>
        <family val="2"/>
        <scheme val="minor"/>
      </rPr>
      <t>t, indiv</t>
    </r>
    <r>
      <rPr>
        <sz val="11"/>
        <color theme="1"/>
        <rFont val="Calibri"/>
        <family val="2"/>
        <scheme val="minor"/>
      </rPr>
      <t>]</t>
    </r>
  </si>
  <si>
    <r>
      <t>Verbraucherpreisge-samtindex nach § 8  Satz 2 ARegV [VPI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]</t>
    </r>
  </si>
  <si>
    <r>
      <t>Genereller sektoraler Produktivitätsfaktor
nach § 9 ARegV [PF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]</t>
    </r>
  </si>
  <si>
    <t>Ausgangsniveau gemäß § 6 Abs. 1 
ARegV</t>
  </si>
  <si>
    <r>
      <t>Basisjahr [t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</si>
  <si>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r>
      <t>Effizienzwert [EW</t>
    </r>
    <r>
      <rPr>
        <sz val="11"/>
        <color theme="1"/>
        <rFont val="Calibri"/>
        <family val="2"/>
        <scheme val="minor"/>
      </rPr>
      <t>]</t>
    </r>
  </si>
  <si>
    <t>Supereffizienzwert [SEW]</t>
  </si>
  <si>
    <t>Summe</t>
  </si>
  <si>
    <t>2.3 Ermittlung der vorübergehend nicht beeinflussbaren und der beeinflussbaren Kostenanteile</t>
  </si>
  <si>
    <r>
      <t>Ausgangsniveau 
Basisjahr 2020, t</t>
    </r>
    <r>
      <rPr>
        <b/>
        <vertAlign val="subscript"/>
        <sz val="11"/>
        <rFont val="Calibri"/>
        <family val="2"/>
        <scheme val="minor"/>
      </rPr>
      <t>0</t>
    </r>
  </si>
  <si>
    <t>Gesamtkosten</t>
  </si>
  <si>
    <r>
      <t>KA</t>
    </r>
    <r>
      <rPr>
        <vertAlign val="subscript"/>
        <sz val="11"/>
        <rFont val="Calibri"/>
        <family val="2"/>
        <scheme val="minor"/>
      </rPr>
      <t>ges</t>
    </r>
  </si>
  <si>
    <t>Dauerhaft nicht beeinflussbare Kostenanteile</t>
  </si>
  <si>
    <r>
      <t>KA</t>
    </r>
    <r>
      <rPr>
        <vertAlign val="subscript"/>
        <sz val="11"/>
        <rFont val="Calibri"/>
        <family val="2"/>
        <scheme val="minor"/>
      </rPr>
      <t>dnb</t>
    </r>
  </si>
  <si>
    <t>Kapitalkostenabzug</t>
  </si>
  <si>
    <r>
      <t>KKAb</t>
    </r>
    <r>
      <rPr>
        <vertAlign val="subscript"/>
        <sz val="11"/>
        <rFont val="Calibri"/>
        <family val="2"/>
        <scheme val="minor"/>
      </rPr>
      <t>t</t>
    </r>
  </si>
  <si>
    <t>Vorübergehend nicht beeinflussbarer Kostenanteil [€]</t>
  </si>
  <si>
    <r>
      <t>KA</t>
    </r>
    <r>
      <rPr>
        <vertAlign val="subscript"/>
        <sz val="11"/>
        <rFont val="Calibri"/>
        <family val="2"/>
        <scheme val="minor"/>
      </rPr>
      <t>vnb,t</t>
    </r>
    <r>
      <rPr>
        <sz val="11"/>
        <rFont val="Calibri"/>
        <family val="2"/>
        <scheme val="minor"/>
      </rPr>
      <t xml:space="preserve"> = (KA</t>
    </r>
    <r>
      <rPr>
        <vertAlign val="subscript"/>
        <sz val="11"/>
        <rFont val="Calibri"/>
        <family val="2"/>
        <scheme val="minor"/>
      </rPr>
      <t>ges</t>
    </r>
    <r>
      <rPr>
        <sz val="11"/>
        <rFont val="Calibri"/>
        <family val="2"/>
        <scheme val="minor"/>
      </rPr>
      <t xml:space="preserve"> - KA</t>
    </r>
    <r>
      <rPr>
        <vertAlign val="subscript"/>
        <sz val="11"/>
        <rFont val="Calibri"/>
        <family val="2"/>
        <scheme val="minor"/>
      </rPr>
      <t>dnb</t>
    </r>
    <r>
      <rPr>
        <sz val="11"/>
        <rFont val="Calibri"/>
        <family val="2"/>
        <scheme val="minor"/>
      </rPr>
      <t xml:space="preserve"> - KKAb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) * EW</t>
    </r>
    <r>
      <rPr>
        <vertAlign val="subscript"/>
        <sz val="11"/>
        <rFont val="Calibri"/>
        <family val="2"/>
        <scheme val="minor"/>
      </rPr>
      <t>a</t>
    </r>
  </si>
  <si>
    <t>Beeinflussbarer Kostenanteil [€]</t>
  </si>
  <si>
    <r>
      <t>KA</t>
    </r>
    <r>
      <rPr>
        <vertAlign val="subscript"/>
        <sz val="11"/>
        <rFont val="Calibri"/>
        <family val="2"/>
        <scheme val="minor"/>
      </rPr>
      <t>b,t</t>
    </r>
    <r>
      <rPr>
        <sz val="11"/>
        <rFont val="Calibri"/>
        <family val="2"/>
        <scheme val="minor"/>
      </rPr>
      <t xml:space="preserve"> = (KA</t>
    </r>
    <r>
      <rPr>
        <vertAlign val="subscript"/>
        <sz val="11"/>
        <rFont val="Calibri"/>
        <family val="2"/>
        <scheme val="minor"/>
      </rPr>
      <t>ges</t>
    </r>
    <r>
      <rPr>
        <sz val="11"/>
        <rFont val="Calibri"/>
        <family val="2"/>
        <scheme val="minor"/>
      </rPr>
      <t xml:space="preserve"> - KA</t>
    </r>
    <r>
      <rPr>
        <vertAlign val="subscript"/>
        <sz val="11"/>
        <rFont val="Calibri"/>
        <family val="2"/>
        <scheme val="minor"/>
      </rPr>
      <t>dnb</t>
    </r>
    <r>
      <rPr>
        <sz val="11"/>
        <rFont val="Calibri"/>
        <family val="2"/>
        <scheme val="minor"/>
      </rPr>
      <t xml:space="preserve"> - KKAbt - KA</t>
    </r>
    <r>
      <rPr>
        <vertAlign val="subscript"/>
        <sz val="11"/>
        <rFont val="Calibri"/>
        <family val="2"/>
        <scheme val="minor"/>
      </rPr>
      <t>vnb,t</t>
    </r>
    <r>
      <rPr>
        <sz val="11"/>
        <rFont val="Calibri"/>
        <family val="2"/>
        <scheme val="minor"/>
      </rPr>
      <t>)</t>
    </r>
  </si>
  <si>
    <t>Nicht abgebauter beeinflussbarer Kostenanteil</t>
  </si>
  <si>
    <r>
      <t>(1 - V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) x KA</t>
    </r>
    <r>
      <rPr>
        <vertAlign val="subscript"/>
        <sz val="11"/>
        <rFont val="Calibri"/>
        <family val="2"/>
        <scheme val="minor"/>
      </rPr>
      <t>b,t</t>
    </r>
  </si>
  <si>
    <t>Effizienzbonus</t>
  </si>
  <si>
    <r>
      <t>B</t>
    </r>
    <r>
      <rPr>
        <vertAlign val="subscript"/>
        <sz val="11"/>
        <rFont val="Calibri"/>
        <family val="2"/>
        <scheme val="minor"/>
      </rPr>
      <t>0</t>
    </r>
  </si>
  <si>
    <t>verteilter Effizienzbonus</t>
  </si>
  <si>
    <r>
      <t>B</t>
    </r>
    <r>
      <rPr>
        <vertAlign val="subscript"/>
        <sz val="11"/>
        <rFont val="Calibri"/>
        <family val="2"/>
        <scheme val="minor"/>
      </rPr>
      <t>0</t>
    </r>
    <r>
      <rPr>
        <sz val="11"/>
        <rFont val="Calibri"/>
        <family val="2"/>
        <scheme val="minor"/>
      </rPr>
      <t xml:space="preserve"> / T</t>
    </r>
  </si>
  <si>
    <t>III.a Jährliche vorübergehend nicht beeinflussbarer zzgl. nicht abgebauten beeinflussbaren Kostenanteil</t>
  </si>
  <si>
    <r>
      <t>KA</t>
    </r>
    <r>
      <rPr>
        <b/>
        <vertAlign val="subscript"/>
        <sz val="12"/>
        <rFont val="Calibri"/>
        <family val="2"/>
        <scheme val="minor"/>
      </rPr>
      <t>vnb,t</t>
    </r>
    <r>
      <rPr>
        <b/>
        <sz val="12"/>
        <rFont val="Calibri"/>
        <family val="2"/>
        <scheme val="minor"/>
      </rPr>
      <t xml:space="preserve"> + (1 - V</t>
    </r>
    <r>
      <rPr>
        <b/>
        <vertAlign val="subscript"/>
        <sz val="12"/>
        <rFont val="Calibri"/>
        <family val="2"/>
        <scheme val="minor"/>
      </rPr>
      <t>t</t>
    </r>
    <r>
      <rPr>
        <b/>
        <sz val="12"/>
        <rFont val="Calibri"/>
        <family val="2"/>
        <scheme val="minor"/>
      </rPr>
      <t>) x KA</t>
    </r>
    <r>
      <rPr>
        <b/>
        <vertAlign val="subscript"/>
        <sz val="12"/>
        <rFont val="Calibri"/>
        <family val="2"/>
        <scheme val="minor"/>
      </rPr>
      <t>b,t</t>
    </r>
    <r>
      <rPr>
        <b/>
        <sz val="12"/>
        <rFont val="Calibri"/>
        <family val="2"/>
        <scheme val="minor"/>
      </rPr>
      <t xml:space="preserve"> + B</t>
    </r>
    <r>
      <rPr>
        <b/>
        <vertAlign val="subscript"/>
        <sz val="12"/>
        <rFont val="Calibri"/>
        <family val="2"/>
        <scheme val="minor"/>
      </rPr>
      <t>0</t>
    </r>
    <r>
      <rPr>
        <b/>
        <sz val="12"/>
        <rFont val="Calibri"/>
        <family val="2"/>
        <scheme val="minor"/>
      </rPr>
      <t xml:space="preserve"> / T</t>
    </r>
  </si>
  <si>
    <t>2.4 Verbraucherpreisgesamtindex (VPI) und Produktivitätsfaktor (PF)</t>
  </si>
  <si>
    <r>
      <t xml:space="preserve">VPI </t>
    </r>
    <r>
      <rPr>
        <vertAlign val="subscript"/>
        <sz val="11"/>
        <rFont val="Calibri"/>
        <family val="2"/>
        <scheme val="minor"/>
      </rPr>
      <t xml:space="preserve">2020 </t>
    </r>
    <r>
      <rPr>
        <sz val="11"/>
        <rFont val="Calibri"/>
        <family val="2"/>
        <scheme val="minor"/>
      </rPr>
      <t>(= VPI</t>
    </r>
    <r>
      <rPr>
        <vertAlign val="subscript"/>
        <sz val="11"/>
        <rFont val="Calibri"/>
        <family val="2"/>
        <scheme val="minor"/>
      </rPr>
      <t>0</t>
    </r>
    <r>
      <rPr>
        <sz val="11"/>
        <rFont val="Calibri"/>
        <family val="2"/>
        <scheme val="minor"/>
      </rPr>
      <t>)</t>
    </r>
  </si>
  <si>
    <t>Verbraucherpreisgesamtindex nach § 8 ARegV</t>
  </si>
  <si>
    <t>VPI</t>
  </si>
  <si>
    <t>Steigerung des Verbraucherpreisgesamtindex bezogen auf Basisjahr</t>
  </si>
  <si>
    <r>
      <t>VPI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 xml:space="preserve"> / VPI</t>
    </r>
    <r>
      <rPr>
        <vertAlign val="subscript"/>
        <sz val="11"/>
        <rFont val="Calibri"/>
        <family val="2"/>
        <scheme val="minor"/>
      </rPr>
      <t xml:space="preserve">0 </t>
    </r>
  </si>
  <si>
    <t>kumulierter genereller sektoraler Produktivitätsfaktor nach § 9 ARegV</t>
  </si>
  <si>
    <r>
      <t>PF</t>
    </r>
    <r>
      <rPr>
        <vertAlign val="subscript"/>
        <sz val="11"/>
        <rFont val="Calibri"/>
        <family val="2"/>
        <scheme val="minor"/>
      </rPr>
      <t>t</t>
    </r>
  </si>
  <si>
    <t>Verbraucherpreisgesamtindex ./. Produktivitätsfortschritt</t>
  </si>
  <si>
    <r>
      <t>(VPI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/VPI</t>
    </r>
    <r>
      <rPr>
        <vertAlign val="subscript"/>
        <sz val="11"/>
        <rFont val="Calibri"/>
        <family val="2"/>
        <scheme val="minor"/>
      </rPr>
      <t>0</t>
    </r>
    <r>
      <rPr>
        <sz val="11"/>
        <rFont val="Calibri"/>
        <family val="2"/>
        <scheme val="minor"/>
      </rPr>
      <t>) - PF</t>
    </r>
    <r>
      <rPr>
        <vertAlign val="subscript"/>
        <sz val="11"/>
        <rFont val="Calibri"/>
        <family val="2"/>
        <scheme val="minor"/>
      </rPr>
      <t>t</t>
    </r>
  </si>
  <si>
    <t>III. Jährliche Kostenanteile mit VPI und PF</t>
  </si>
  <si>
    <r>
      <t>III.a x (VPI</t>
    </r>
    <r>
      <rPr>
        <b/>
        <vertAlign val="subscript"/>
        <sz val="12"/>
        <rFont val="Calibri"/>
        <family val="2"/>
        <scheme val="minor"/>
      </rPr>
      <t>t</t>
    </r>
    <r>
      <rPr>
        <b/>
        <sz val="12"/>
        <rFont val="Calibri"/>
        <family val="2"/>
        <scheme val="minor"/>
      </rPr>
      <t>/VPI</t>
    </r>
    <r>
      <rPr>
        <b/>
        <vertAlign val="subscript"/>
        <sz val="12"/>
        <rFont val="Calibri"/>
        <family val="2"/>
        <scheme val="minor"/>
      </rPr>
      <t>0</t>
    </r>
    <r>
      <rPr>
        <b/>
        <sz val="12"/>
        <rFont val="Calibri"/>
        <family val="2"/>
        <scheme val="minor"/>
      </rPr>
      <t xml:space="preserve"> - PF</t>
    </r>
    <r>
      <rPr>
        <b/>
        <vertAlign val="subscript"/>
        <sz val="12"/>
        <rFont val="Calibri"/>
        <family val="2"/>
        <scheme val="minor"/>
      </rPr>
      <t>t</t>
    </r>
    <r>
      <rPr>
        <b/>
        <sz val="12"/>
        <rFont val="Calibri"/>
        <family val="2"/>
        <scheme val="minor"/>
      </rPr>
      <t>)</t>
    </r>
  </si>
  <si>
    <t>3 Kalenderjährliche Erlösobergrenze</t>
  </si>
  <si>
    <t>Dauer_RegP</t>
  </si>
  <si>
    <r>
      <t>Verbraucherpreisgesamtindex nach § 8 Satz 2 ARegV [VPI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</si>
  <si>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t>Diese Datei</t>
  </si>
  <si>
    <t>4 Transformationselement</t>
  </si>
  <si>
    <t>TFE</t>
  </si>
  <si>
    <t>EOG,t 
Alte Abschreibungen</t>
  </si>
  <si>
    <t>EOG,t 
Neue Abschreibungen</t>
  </si>
  <si>
    <t>Verpächter 1</t>
  </si>
  <si>
    <t>Verpächter 2</t>
  </si>
  <si>
    <r>
      <t>EOG</t>
    </r>
    <r>
      <rPr>
        <b/>
        <vertAlign val="subscript"/>
        <sz val="12"/>
        <rFont val="Calibri"/>
        <family val="2"/>
        <scheme val="minor"/>
      </rPr>
      <t>t</t>
    </r>
  </si>
  <si>
    <t>Kapitalkostenabzug
Alte Abschreibungen</t>
  </si>
  <si>
    <t>Kapitalkostenabzug
Neue Abschreibungen</t>
  </si>
  <si>
    <t>Berechnungshilfe zum Transformationselement</t>
  </si>
  <si>
    <t>vollständige Wertansätze</t>
  </si>
  <si>
    <t>vollständige Wertansätze -alt-</t>
  </si>
  <si>
    <t>vollständige Wertansätze -neu-</t>
  </si>
  <si>
    <t>Abschreibungen -alt-</t>
  </si>
  <si>
    <t>Abschreibungen -neu-</t>
  </si>
  <si>
    <t>KKAb,neu</t>
  </si>
  <si>
    <t xml:space="preserve">gewichtete Wertansätze </t>
  </si>
  <si>
    <t>gewichtete Wertansätze</t>
  </si>
  <si>
    <t>Eingaben Werte aus Kostenprüfung/EOG-Festlegung unter Berücksichtigung zwischenzeitlicher Netzberänderungen nach dem Basisjahr</t>
  </si>
  <si>
    <t>Version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</si>
</sst>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* #,##0\ &quot;€&quot;_-;\-* #,##0\ &quot;€&quot;_-;_-* &quot;-&quot;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_ ;\-#,##0\ "/>
    <numFmt numFmtId="167" formatCode="_-* #,##0_-;\-* #,##0_-;_-* &quot;-&quot;??_-;_-@_-"/>
    <numFmt numFmtId="168" formatCode="_(&quot;€&quot;* #,##0.00_);_(&quot;€&quot;* \(#,##0.00\);_(&quot;€&quot;* &quot;-&quot;??_);_(@_)"/>
    <numFmt numFmtId="169" formatCode="#,##0\ &quot;€&quot;"/>
    <numFmt numFmtId="170" formatCode="#,##0.00_ ;[Red]\-#,##0.00\ "/>
    <numFmt numFmtId="171" formatCode="0.0000%"/>
    <numFmt numFmtId="172" formatCode="#,##0.00\ &quot;€&quot;"/>
    <numFmt numFmtId="173" formatCode="0.000%"/>
    <numFmt numFmtId="174" formatCode="0.0000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0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10"/>
      <name val="Calibri"/>
      <family val="2"/>
      <scheme val="minor"/>
    </font>
    <font>
      <sz val="14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sz val="11"/>
      <color indexed="9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sz val="12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1"/>
      <color indexed="12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lightDown"/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</borders>
  <cellStyleXfs count="41">
    <xf numFmtId="0" fontId="0" fillId="0" borderId="0"/>
    <xf numFmtId="9" fontId="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10" fillId="5" borderId="0" applyNumberFormat="0" applyBorder="0" applyAlignment="0" applyProtection="0"/>
    <xf numFmtId="43" fontId="12" fillId="0" borderId="0" applyFont="0" applyFill="0" applyBorder="0" applyAlignment="0" applyProtection="0"/>
    <xf numFmtId="0" fontId="15" fillId="3" borderId="6" applyNumberFormat="0" applyAlignment="0" applyProtection="0"/>
    <xf numFmtId="0" fontId="10" fillId="6" borderId="0" applyNumberFormat="0" applyBorder="0" applyAlignment="0" applyProtection="0"/>
    <xf numFmtId="164" fontId="17" fillId="9" borderId="0" applyBorder="0">
      <alignment vertical="center"/>
    </xf>
    <xf numFmtId="164" fontId="17" fillId="10" borderId="0" applyBorder="0">
      <alignment vertical="center"/>
    </xf>
    <xf numFmtId="164" fontId="11" fillId="11" borderId="0" applyBorder="0">
      <alignment vertical="center"/>
    </xf>
    <xf numFmtId="164" fontId="11" fillId="12" borderId="0" applyBorder="0">
      <alignment vertical="center"/>
    </xf>
    <xf numFmtId="164" fontId="11" fillId="2" borderId="0" applyBorder="0" applyProtection="0">
      <alignment vertical="center"/>
    </xf>
    <xf numFmtId="164" fontId="19" fillId="3" borderId="0" applyBorder="0">
      <alignment vertical="center"/>
    </xf>
    <xf numFmtId="164" fontId="16" fillId="3" borderId="0" applyBorder="0">
      <alignment vertical="center"/>
    </xf>
    <xf numFmtId="164" fontId="11" fillId="7" borderId="0" applyBorder="0" applyProtection="0">
      <alignment vertical="center"/>
    </xf>
    <xf numFmtId="164" fontId="11" fillId="8" borderId="0" applyBorder="0">
      <alignment vertical="center"/>
    </xf>
    <xf numFmtId="164" fontId="11" fillId="13" borderId="0" applyBorder="0">
      <alignment vertical="center"/>
    </xf>
    <xf numFmtId="164" fontId="11" fillId="14" borderId="0" applyBorder="0">
      <alignment vertical="center"/>
    </xf>
    <xf numFmtId="164" fontId="11" fillId="15" borderId="0" applyBorder="0">
      <alignment vertical="center"/>
    </xf>
    <xf numFmtId="164" fontId="17" fillId="16" borderId="0" applyBorder="0">
      <alignment horizontal="center" vertical="center"/>
    </xf>
    <xf numFmtId="164" fontId="11" fillId="17" borderId="0" applyBorder="0">
      <alignment vertical="center"/>
    </xf>
    <xf numFmtId="164" fontId="11" fillId="18" borderId="0" applyBorder="0">
      <alignment vertical="center"/>
    </xf>
    <xf numFmtId="164" fontId="11" fillId="19" borderId="0" applyBorder="0">
      <alignment vertical="center"/>
    </xf>
    <xf numFmtId="164" fontId="11" fillId="11" borderId="0" applyBorder="0">
      <alignment vertical="center"/>
    </xf>
    <xf numFmtId="0" fontId="20" fillId="20" borderId="0" applyNumberFormat="0" applyBorder="0" applyAlignment="0" applyProtection="0"/>
    <xf numFmtId="0" fontId="4" fillId="24" borderId="0" applyNumberFormat="0" applyBorder="0" applyAlignment="0" applyProtection="0"/>
    <xf numFmtId="0" fontId="10" fillId="26" borderId="0" applyNumberFormat="0" applyBorder="0" applyAlignment="0" applyProtection="0"/>
    <xf numFmtId="165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64" fontId="3" fillId="4" borderId="12">
      <alignment horizontal="left" vertical="center"/>
      <protection locked="0"/>
    </xf>
    <xf numFmtId="164" fontId="3" fillId="4" borderId="5">
      <alignment horizontal="left" vertical="center"/>
      <protection locked="0"/>
    </xf>
    <xf numFmtId="164" fontId="13" fillId="28" borderId="0">
      <alignment horizontal="left" vertical="center"/>
    </xf>
    <xf numFmtId="164" fontId="11" fillId="28" borderId="0">
      <alignment horizontal="left" vertical="center"/>
    </xf>
    <xf numFmtId="164" fontId="11" fillId="27" borderId="0">
      <alignment horizontal="left" vertical="center"/>
    </xf>
    <xf numFmtId="0" fontId="2" fillId="25" borderId="0" applyNumberFormat="0" applyBorder="0" applyAlignment="0" applyProtection="0"/>
    <xf numFmtId="0" fontId="22" fillId="22" borderId="0" applyNumberFormat="0" applyBorder="0" applyAlignment="0" applyProtection="0"/>
    <xf numFmtId="0" fontId="38" fillId="23" borderId="0" applyNumberFormat="0" applyBorder="0" applyAlignment="0" applyProtection="0"/>
    <xf numFmtId="0" fontId="39" fillId="2" borderId="6" applyNumberFormat="0" applyAlignment="0" applyProtection="0"/>
  </cellStyleXfs>
  <cellXfs count="457">
    <xf numFmtId="0" fontId="0" fillId="0" borderId="0" xfId="0"/>
    <xf numFmtId="0" fontId="16" fillId="0" borderId="36" xfId="0" applyFont="1" applyFill="1" applyBorder="1" applyAlignment="1" applyProtection="1">
      <alignment vertical="center"/>
    </xf>
    <xf numFmtId="0" fontId="13" fillId="0" borderId="5" xfId="0" applyFont="1" applyFill="1" applyBorder="1" applyAlignment="1" applyProtection="1">
      <alignment wrapText="1"/>
    </xf>
    <xf numFmtId="164" fontId="11" fillId="2" borderId="5" xfId="14" applyBorder="1" applyAlignment="1" applyProtection="1">
      <alignment vertical="center" wrapText="1"/>
    </xf>
    <xf numFmtId="0" fontId="6" fillId="0" borderId="0" xfId="0" applyFont="1"/>
    <xf numFmtId="0" fontId="0" fillId="0" borderId="0" xfId="0" applyBorder="1"/>
    <xf numFmtId="0" fontId="0" fillId="0" borderId="0" xfId="0"/>
    <xf numFmtId="164" fontId="17" fillId="16" borderId="30" xfId="22" applyBorder="1">
      <alignment horizontal="center" vertical="center"/>
    </xf>
    <xf numFmtId="0" fontId="22" fillId="22" borderId="0" xfId="0" applyFont="1" applyFill="1"/>
    <xf numFmtId="10" fontId="23" fillId="23" borderId="0" xfId="0" applyNumberFormat="1" applyFont="1" applyFill="1"/>
    <xf numFmtId="10" fontId="22" fillId="22" borderId="0" xfId="0" applyNumberFormat="1" applyFont="1" applyFill="1"/>
    <xf numFmtId="0" fontId="18" fillId="0" borderId="0" xfId="0" applyFont="1" applyFill="1" applyBorder="1" applyProtection="1"/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Protection="1"/>
    <xf numFmtId="14" fontId="11" fillId="0" borderId="0" xfId="0" applyNumberFormat="1" applyFont="1" applyFill="1" applyBorder="1" applyProtection="1"/>
    <xf numFmtId="3" fontId="11" fillId="0" borderId="0" xfId="0" applyNumberFormat="1" applyFont="1" applyFill="1" applyBorder="1" applyAlignment="1" applyProtection="1">
      <alignment vertical="center" wrapText="1"/>
    </xf>
    <xf numFmtId="0" fontId="11" fillId="0" borderId="21" xfId="0" applyFont="1" applyFill="1" applyBorder="1" applyProtection="1"/>
    <xf numFmtId="0" fontId="11" fillId="0" borderId="0" xfId="0" applyFont="1" applyFill="1" applyProtection="1"/>
    <xf numFmtId="9" fontId="15" fillId="3" borderId="40" xfId="8" applyNumberFormat="1" applyFont="1" applyBorder="1" applyAlignment="1" applyProtection="1">
      <alignment horizontal="center" vertical="center"/>
    </xf>
    <xf numFmtId="0" fontId="11" fillId="0" borderId="22" xfId="0" applyFont="1" applyFill="1" applyBorder="1" applyProtection="1"/>
    <xf numFmtId="0" fontId="11" fillId="0" borderId="0" xfId="0" applyFont="1" applyFill="1" applyAlignment="1" applyProtection="1">
      <alignment vertical="center"/>
    </xf>
    <xf numFmtId="3" fontId="11" fillId="0" borderId="0" xfId="0" applyNumberFormat="1" applyFont="1" applyFill="1" applyBorder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49" fontId="11" fillId="0" borderId="35" xfId="0" applyNumberFormat="1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vertical="center" wrapText="1"/>
    </xf>
    <xf numFmtId="3" fontId="11" fillId="0" borderId="38" xfId="0" applyNumberFormat="1" applyFont="1" applyFill="1" applyBorder="1" applyAlignment="1" applyProtection="1">
      <alignment vertical="center"/>
    </xf>
    <xf numFmtId="3" fontId="7" fillId="0" borderId="38" xfId="0" applyNumberFormat="1" applyFont="1" applyFill="1" applyBorder="1"/>
    <xf numFmtId="3" fontId="16" fillId="0" borderId="0" xfId="0" applyNumberFormat="1" applyFont="1" applyFill="1" applyBorder="1" applyAlignment="1" applyProtection="1">
      <alignment vertical="center"/>
    </xf>
    <xf numFmtId="3" fontId="16" fillId="0" borderId="38" xfId="0" applyNumberFormat="1" applyFont="1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vertical="center"/>
    </xf>
    <xf numFmtId="0" fontId="11" fillId="0" borderId="35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wrapText="1"/>
    </xf>
    <xf numFmtId="4" fontId="11" fillId="0" borderId="0" xfId="0" applyNumberFormat="1" applyFont="1" applyFill="1" applyBorder="1" applyProtection="1"/>
    <xf numFmtId="10" fontId="11" fillId="0" borderId="0" xfId="0" applyNumberFormat="1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4" fontId="16" fillId="0" borderId="0" xfId="0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 applyProtection="1">
      <alignment horizontal="left" vertical="center"/>
    </xf>
    <xf numFmtId="0" fontId="11" fillId="0" borderId="0" xfId="0" applyFont="1" applyFill="1" applyAlignment="1" applyProtection="1">
      <alignment vertical="center" wrapText="1"/>
    </xf>
    <xf numFmtId="0" fontId="11" fillId="0" borderId="0" xfId="0" applyFont="1" applyFill="1" applyAlignment="1" applyProtection="1">
      <alignment wrapText="1"/>
    </xf>
    <xf numFmtId="4" fontId="11" fillId="0" borderId="0" xfId="0" applyNumberFormat="1" applyFont="1" applyFill="1" applyProtection="1"/>
    <xf numFmtId="164" fontId="17" fillId="16" borderId="32" xfId="22" applyBorder="1">
      <alignment horizontal="center" vertical="center"/>
    </xf>
    <xf numFmtId="164" fontId="16" fillId="15" borderId="30" xfId="21" applyFont="1" applyBorder="1">
      <alignment vertical="center"/>
    </xf>
    <xf numFmtId="164" fontId="16" fillId="15" borderId="31" xfId="21" applyFont="1" applyBorder="1">
      <alignment vertical="center"/>
    </xf>
    <xf numFmtId="164" fontId="16" fillId="15" borderId="44" xfId="21" applyFont="1" applyBorder="1">
      <alignment vertical="center"/>
    </xf>
    <xf numFmtId="164" fontId="11" fillId="15" borderId="35" xfId="21" applyBorder="1">
      <alignment vertical="center"/>
    </xf>
    <xf numFmtId="164" fontId="11" fillId="15" borderId="38" xfId="21" applyBorder="1">
      <alignment vertical="center"/>
    </xf>
    <xf numFmtId="164" fontId="11" fillId="14" borderId="42" xfId="20" applyBorder="1">
      <alignment vertical="center"/>
    </xf>
    <xf numFmtId="164" fontId="11" fillId="14" borderId="37" xfId="20" applyBorder="1">
      <alignment vertical="center"/>
    </xf>
    <xf numFmtId="164" fontId="11" fillId="14" borderId="11" xfId="20" applyBorder="1">
      <alignment vertical="center"/>
    </xf>
    <xf numFmtId="164" fontId="11" fillId="14" borderId="10" xfId="20" applyBorder="1">
      <alignment vertical="center"/>
    </xf>
    <xf numFmtId="0" fontId="0" fillId="0" borderId="0" xfId="0"/>
    <xf numFmtId="0" fontId="11" fillId="0" borderId="0" xfId="0" applyFont="1" applyFill="1" applyBorder="1" applyAlignment="1" applyProtection="1">
      <alignment wrapText="1"/>
    </xf>
    <xf numFmtId="164" fontId="16" fillId="15" borderId="32" xfId="21" applyFont="1" applyBorder="1">
      <alignment vertical="center"/>
    </xf>
    <xf numFmtId="0" fontId="0" fillId="0" borderId="35" xfId="0" applyBorder="1"/>
    <xf numFmtId="0" fontId="0" fillId="0" borderId="33" xfId="0" applyBorder="1"/>
    <xf numFmtId="164" fontId="13" fillId="15" borderId="32" xfId="21" applyNumberFormat="1" applyFont="1" applyBorder="1">
      <alignment vertical="center"/>
    </xf>
    <xf numFmtId="0" fontId="11" fillId="0" borderId="12" xfId="0" applyFont="1" applyFill="1" applyBorder="1" applyProtection="1"/>
    <xf numFmtId="4" fontId="11" fillId="0" borderId="12" xfId="0" applyNumberFormat="1" applyFont="1" applyFill="1" applyBorder="1" applyProtection="1"/>
    <xf numFmtId="9" fontId="15" fillId="3" borderId="0" xfId="8" applyNumberFormat="1" applyFont="1" applyBorder="1" applyAlignment="1" applyProtection="1">
      <alignment horizontal="center" vertical="center"/>
    </xf>
    <xf numFmtId="4" fontId="11" fillId="0" borderId="21" xfId="0" applyNumberFormat="1" applyFont="1" applyFill="1" applyBorder="1" applyProtection="1"/>
    <xf numFmtId="49" fontId="11" fillId="0" borderId="35" xfId="0" quotePrefix="1" applyNumberFormat="1" applyFont="1" applyFill="1" applyBorder="1" applyProtection="1"/>
    <xf numFmtId="49" fontId="11" fillId="0" borderId="25" xfId="0" applyNumberFormat="1" applyFont="1" applyFill="1" applyBorder="1" applyProtection="1"/>
    <xf numFmtId="164" fontId="16" fillId="0" borderId="39" xfId="0" applyNumberFormat="1" applyFont="1" applyFill="1" applyBorder="1" applyProtection="1"/>
    <xf numFmtId="164" fontId="16" fillId="0" borderId="38" xfId="0" applyNumberFormat="1" applyFont="1" applyFill="1" applyBorder="1" applyProtection="1"/>
    <xf numFmtId="164" fontId="17" fillId="10" borderId="1" xfId="11" applyBorder="1">
      <alignment vertical="center"/>
    </xf>
    <xf numFmtId="164" fontId="17" fillId="10" borderId="21" xfId="11" applyBorder="1">
      <alignment vertical="center"/>
    </xf>
    <xf numFmtId="164" fontId="17" fillId="10" borderId="3" xfId="11" applyBorder="1">
      <alignment vertical="center"/>
    </xf>
    <xf numFmtId="164" fontId="11" fillId="2" borderId="7" xfId="14" applyBorder="1">
      <alignment vertical="center"/>
    </xf>
    <xf numFmtId="164" fontId="11" fillId="2" borderId="8" xfId="14" applyBorder="1">
      <alignment vertical="center"/>
    </xf>
    <xf numFmtId="164" fontId="11" fillId="15" borderId="45" xfId="21" applyBorder="1">
      <alignment vertical="center"/>
    </xf>
    <xf numFmtId="164" fontId="17" fillId="16" borderId="31" xfId="22" applyBorder="1">
      <alignment horizontal="center" vertical="center"/>
    </xf>
    <xf numFmtId="164" fontId="11" fillId="14" borderId="23" xfId="20" applyBorder="1">
      <alignment vertical="center"/>
    </xf>
    <xf numFmtId="164" fontId="11" fillId="14" borderId="15" xfId="20" applyBorder="1">
      <alignment vertical="center"/>
    </xf>
    <xf numFmtId="164" fontId="11" fillId="14" borderId="41" xfId="20" applyBorder="1">
      <alignment vertical="center"/>
    </xf>
    <xf numFmtId="164" fontId="17" fillId="10" borderId="15" xfId="11" applyBorder="1" applyAlignment="1">
      <alignment vertical="center" wrapText="1"/>
    </xf>
    <xf numFmtId="164" fontId="17" fillId="10" borderId="21" xfId="11" applyBorder="1" applyAlignment="1">
      <alignment vertical="center" wrapText="1"/>
    </xf>
    <xf numFmtId="164" fontId="17" fillId="10" borderId="41" xfId="11" applyBorder="1" applyAlignment="1">
      <alignment vertical="center" wrapText="1"/>
    </xf>
    <xf numFmtId="164" fontId="17" fillId="10" borderId="23" xfId="11" applyBorder="1" applyAlignment="1">
      <alignment vertical="center"/>
    </xf>
    <xf numFmtId="164" fontId="11" fillId="12" borderId="27" xfId="13" applyBorder="1">
      <alignment vertical="center"/>
    </xf>
    <xf numFmtId="164" fontId="11" fillId="12" borderId="16" xfId="13" applyBorder="1">
      <alignment vertical="center"/>
    </xf>
    <xf numFmtId="164" fontId="11" fillId="12" borderId="22" xfId="13" applyBorder="1">
      <alignment vertical="center"/>
    </xf>
    <xf numFmtId="164" fontId="13" fillId="15" borderId="30" xfId="21" applyFont="1" applyBorder="1">
      <alignment vertical="center"/>
    </xf>
    <xf numFmtId="164" fontId="13" fillId="15" borderId="31" xfId="21" applyFont="1" applyBorder="1">
      <alignment vertical="center"/>
    </xf>
    <xf numFmtId="164" fontId="13" fillId="15" borderId="44" xfId="21" applyFont="1" applyBorder="1">
      <alignment vertical="center"/>
    </xf>
    <xf numFmtId="164" fontId="11" fillId="14" borderId="25" xfId="20" applyBorder="1">
      <alignment vertical="center"/>
    </xf>
    <xf numFmtId="164" fontId="11" fillId="14" borderId="12" xfId="20" applyBorder="1">
      <alignment vertical="center"/>
    </xf>
    <xf numFmtId="164" fontId="11" fillId="14" borderId="39" xfId="20" applyBorder="1">
      <alignment vertical="center"/>
    </xf>
    <xf numFmtId="0" fontId="11" fillId="0" borderId="13" xfId="0" applyFont="1" applyFill="1" applyBorder="1" applyAlignment="1" applyProtection="1">
      <alignment vertical="center" wrapText="1"/>
    </xf>
    <xf numFmtId="164" fontId="18" fillId="17" borderId="30" xfId="23" applyFont="1" applyBorder="1">
      <alignment vertical="center"/>
    </xf>
    <xf numFmtId="164" fontId="18" fillId="17" borderId="31" xfId="23" applyFont="1" applyBorder="1">
      <alignment vertical="center"/>
    </xf>
    <xf numFmtId="164" fontId="18" fillId="17" borderId="44" xfId="23" applyFont="1" applyBorder="1">
      <alignment vertical="center"/>
    </xf>
    <xf numFmtId="164" fontId="16" fillId="15" borderId="1" xfId="21" applyFont="1" applyBorder="1">
      <alignment vertical="center"/>
    </xf>
    <xf numFmtId="164" fontId="16" fillId="15" borderId="21" xfId="21" applyFont="1" applyBorder="1">
      <alignment vertical="center"/>
    </xf>
    <xf numFmtId="164" fontId="16" fillId="15" borderId="36" xfId="21" applyFont="1" applyBorder="1">
      <alignment vertical="center"/>
    </xf>
    <xf numFmtId="0" fontId="11" fillId="0" borderId="33" xfId="0" applyFont="1" applyFill="1" applyBorder="1" applyAlignment="1" applyProtection="1">
      <alignment vertical="center"/>
    </xf>
    <xf numFmtId="0" fontId="11" fillId="0" borderId="52" xfId="0" applyFont="1" applyFill="1" applyBorder="1" applyAlignment="1" applyProtection="1">
      <alignment vertical="center" wrapText="1"/>
    </xf>
    <xf numFmtId="0" fontId="11" fillId="0" borderId="21" xfId="0" applyFont="1" applyFill="1" applyBorder="1" applyAlignment="1" applyProtection="1">
      <alignment wrapText="1"/>
    </xf>
    <xf numFmtId="0" fontId="11" fillId="0" borderId="35" xfId="0" applyFont="1" applyFill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horizontal="left" vertical="center"/>
    </xf>
    <xf numFmtId="0" fontId="14" fillId="0" borderId="21" xfId="0" applyFont="1" applyFill="1" applyBorder="1"/>
    <xf numFmtId="0" fontId="11" fillId="0" borderId="2" xfId="0" applyFont="1" applyFill="1" applyBorder="1" applyAlignment="1" applyProtection="1">
      <alignment horizontal="left" vertical="center"/>
    </xf>
    <xf numFmtId="0" fontId="14" fillId="0" borderId="22" xfId="0" applyFont="1" applyFill="1" applyBorder="1"/>
    <xf numFmtId="0" fontId="11" fillId="0" borderId="22" xfId="0" applyFont="1" applyFill="1" applyBorder="1" applyAlignment="1" applyProtection="1">
      <alignment wrapText="1"/>
    </xf>
    <xf numFmtId="4" fontId="11" fillId="0" borderId="22" xfId="0" applyNumberFormat="1" applyFont="1" applyFill="1" applyBorder="1" applyProtection="1"/>
    <xf numFmtId="10" fontId="11" fillId="0" borderId="36" xfId="0" applyNumberFormat="1" applyFont="1" applyFill="1" applyBorder="1" applyProtection="1"/>
    <xf numFmtId="10" fontId="11" fillId="0" borderId="45" xfId="0" applyNumberFormat="1" applyFont="1" applyFill="1" applyBorder="1" applyProtection="1"/>
    <xf numFmtId="164" fontId="11" fillId="14" borderId="27" xfId="20" applyBorder="1">
      <alignment vertical="center"/>
    </xf>
    <xf numFmtId="164" fontId="11" fillId="14" borderId="16" xfId="20" applyBorder="1">
      <alignment vertical="center"/>
    </xf>
    <xf numFmtId="164" fontId="11" fillId="14" borderId="40" xfId="20" applyBorder="1">
      <alignment vertical="center"/>
    </xf>
    <xf numFmtId="164" fontId="16" fillId="14" borderId="23" xfId="20" applyFont="1" applyBorder="1">
      <alignment vertical="center"/>
    </xf>
    <xf numFmtId="164" fontId="16" fillId="14" borderId="15" xfId="20" applyFont="1" applyBorder="1">
      <alignment vertical="center"/>
    </xf>
    <xf numFmtId="164" fontId="16" fillId="14" borderId="41" xfId="20" applyFont="1" applyBorder="1">
      <alignment vertical="center"/>
    </xf>
    <xf numFmtId="164" fontId="16" fillId="14" borderId="27" xfId="20" applyFont="1" applyBorder="1">
      <alignment vertical="center"/>
    </xf>
    <xf numFmtId="164" fontId="16" fillId="14" borderId="16" xfId="20" applyFont="1" applyBorder="1">
      <alignment vertical="center"/>
    </xf>
    <xf numFmtId="164" fontId="16" fillId="14" borderId="40" xfId="20" applyFont="1" applyBorder="1">
      <alignment vertical="center"/>
    </xf>
    <xf numFmtId="164" fontId="16" fillId="14" borderId="30" xfId="20" applyFont="1" applyBorder="1">
      <alignment vertical="center"/>
    </xf>
    <xf numFmtId="164" fontId="16" fillId="14" borderId="31" xfId="20" applyFont="1" applyBorder="1">
      <alignment vertical="center"/>
    </xf>
    <xf numFmtId="164" fontId="16" fillId="14" borderId="44" xfId="20" applyFont="1" applyBorder="1">
      <alignment vertical="center"/>
    </xf>
    <xf numFmtId="164" fontId="0" fillId="0" borderId="1" xfId="0" applyNumberFormat="1" applyBorder="1"/>
    <xf numFmtId="164" fontId="0" fillId="0" borderId="21" xfId="0" applyNumberFormat="1" applyBorder="1"/>
    <xf numFmtId="164" fontId="0" fillId="0" borderId="36" xfId="0" applyNumberFormat="1" applyBorder="1"/>
    <xf numFmtId="0" fontId="11" fillId="0" borderId="22" xfId="0" applyFont="1" applyFill="1" applyBorder="1" applyAlignment="1" applyProtection="1">
      <alignment vertical="center" wrapText="1"/>
    </xf>
    <xf numFmtId="0" fontId="18" fillId="0" borderId="0" xfId="0" applyFont="1" applyFill="1" applyProtection="1"/>
    <xf numFmtId="10" fontId="11" fillId="14" borderId="15" xfId="20" applyNumberFormat="1" applyBorder="1">
      <alignment vertical="center"/>
    </xf>
    <xf numFmtId="10" fontId="11" fillId="14" borderId="12" xfId="20" applyNumberFormat="1" applyBorder="1">
      <alignment vertical="center"/>
    </xf>
    <xf numFmtId="10" fontId="11" fillId="14" borderId="16" xfId="20" applyNumberFormat="1" applyBorder="1">
      <alignment vertical="center"/>
    </xf>
    <xf numFmtId="14" fontId="17" fillId="10" borderId="15" xfId="11" applyNumberFormat="1" applyBorder="1" applyAlignment="1">
      <alignment vertical="center" wrapText="1"/>
    </xf>
    <xf numFmtId="0" fontId="16" fillId="0" borderId="0" xfId="0" applyFont="1" applyFill="1" applyAlignment="1" applyProtection="1">
      <alignment vertical="top"/>
    </xf>
    <xf numFmtId="0" fontId="11" fillId="0" borderId="0" xfId="0" applyFont="1" applyFill="1" applyAlignment="1" applyProtection="1">
      <alignment vertical="top"/>
    </xf>
    <xf numFmtId="164" fontId="11" fillId="0" borderId="0" xfId="0" applyNumberFormat="1" applyFont="1" applyFill="1" applyBorder="1" applyAlignment="1" applyProtection="1">
      <alignment vertical="center"/>
    </xf>
    <xf numFmtId="164" fontId="11" fillId="0" borderId="33" xfId="0" applyNumberFormat="1" applyFont="1" applyFill="1" applyBorder="1" applyAlignment="1" applyProtection="1">
      <alignment vertical="center"/>
    </xf>
    <xf numFmtId="164" fontId="11" fillId="0" borderId="16" xfId="0" applyNumberFormat="1" applyFont="1" applyFill="1" applyBorder="1" applyAlignment="1" applyProtection="1">
      <alignment vertical="center"/>
    </xf>
    <xf numFmtId="164" fontId="13" fillId="15" borderId="31" xfId="21" applyNumberFormat="1" applyFont="1" applyBorder="1">
      <alignment vertical="center"/>
    </xf>
    <xf numFmtId="0" fontId="17" fillId="16" borderId="31" xfId="22" applyNumberFormat="1" applyBorder="1">
      <alignment horizontal="center" vertical="center"/>
    </xf>
    <xf numFmtId="164" fontId="11" fillId="0" borderId="0" xfId="0" applyNumberFormat="1" applyFont="1" applyFill="1" applyBorder="1" applyProtection="1"/>
    <xf numFmtId="164" fontId="11" fillId="0" borderId="12" xfId="0" applyNumberFormat="1" applyFont="1" applyFill="1" applyBorder="1" applyProtection="1"/>
    <xf numFmtId="164" fontId="11" fillId="0" borderId="26" xfId="0" applyNumberFormat="1" applyFont="1" applyFill="1" applyBorder="1" applyProtection="1"/>
    <xf numFmtId="164" fontId="18" fillId="17" borderId="32" xfId="23" applyFont="1" applyBorder="1">
      <alignment vertical="center"/>
    </xf>
    <xf numFmtId="164" fontId="11" fillId="0" borderId="35" xfId="0" applyNumberFormat="1" applyFont="1" applyFill="1" applyBorder="1" applyProtection="1"/>
    <xf numFmtId="164" fontId="11" fillId="29" borderId="25" xfId="0" applyNumberFormat="1" applyFont="1" applyFill="1" applyBorder="1" applyProtection="1"/>
    <xf numFmtId="164" fontId="11" fillId="0" borderId="33" xfId="0" applyNumberFormat="1" applyFont="1" applyFill="1" applyBorder="1" applyProtection="1"/>
    <xf numFmtId="164" fontId="17" fillId="10" borderId="36" xfId="11" applyBorder="1" applyAlignment="1">
      <alignment vertical="center" wrapText="1"/>
    </xf>
    <xf numFmtId="0" fontId="17" fillId="10" borderId="0" xfId="11" applyNumberFormat="1" applyBorder="1">
      <alignment vertical="center"/>
    </xf>
    <xf numFmtId="14" fontId="17" fillId="10" borderId="35" xfId="11" applyNumberFormat="1" applyBorder="1">
      <alignment vertical="center"/>
    </xf>
    <xf numFmtId="164" fontId="11" fillId="14" borderId="26" xfId="20" applyBorder="1">
      <alignment vertical="center"/>
    </xf>
    <xf numFmtId="164" fontId="11" fillId="0" borderId="35" xfId="0" applyNumberFormat="1" applyFont="1" applyFill="1" applyBorder="1" applyAlignment="1" applyProtection="1">
      <alignment vertical="center"/>
    </xf>
    <xf numFmtId="3" fontId="11" fillId="0" borderId="35" xfId="0" applyNumberFormat="1" applyFont="1" applyFill="1" applyBorder="1" applyAlignment="1" applyProtection="1">
      <alignment vertical="center"/>
    </xf>
    <xf numFmtId="3" fontId="11" fillId="0" borderId="33" xfId="0" applyNumberFormat="1" applyFont="1" applyFill="1" applyBorder="1" applyAlignment="1" applyProtection="1">
      <alignment vertical="center"/>
    </xf>
    <xf numFmtId="164" fontId="13" fillId="15" borderId="30" xfId="21" applyNumberFormat="1" applyFont="1" applyBorder="1">
      <alignment vertical="center"/>
    </xf>
    <xf numFmtId="0" fontId="16" fillId="0" borderId="22" xfId="0" applyFont="1" applyFill="1" applyBorder="1" applyAlignment="1" applyProtection="1">
      <alignment vertical="center"/>
    </xf>
    <xf numFmtId="10" fontId="11" fillId="0" borderId="22" xfId="0" applyNumberFormat="1" applyFont="1" applyFill="1" applyBorder="1" applyProtection="1"/>
    <xf numFmtId="10" fontId="11" fillId="0" borderId="4" xfId="0" applyNumberFormat="1" applyFont="1" applyFill="1" applyBorder="1" applyProtection="1"/>
    <xf numFmtId="0" fontId="11" fillId="0" borderId="22" xfId="0" applyFont="1" applyFill="1" applyBorder="1" applyAlignment="1" applyProtection="1">
      <alignment vertical="center"/>
    </xf>
    <xf numFmtId="0" fontId="11" fillId="0" borderId="31" xfId="0" applyFont="1" applyFill="1" applyBorder="1" applyAlignment="1" applyProtection="1">
      <alignment vertical="center"/>
    </xf>
    <xf numFmtId="0" fontId="16" fillId="0" borderId="21" xfId="0" applyFont="1" applyFill="1" applyBorder="1" applyAlignment="1" applyProtection="1">
      <alignment vertical="center"/>
    </xf>
    <xf numFmtId="164" fontId="11" fillId="0" borderId="28" xfId="0" applyNumberFormat="1" applyFont="1" applyFill="1" applyBorder="1" applyAlignment="1" applyProtection="1">
      <alignment vertical="center"/>
    </xf>
    <xf numFmtId="164" fontId="11" fillId="0" borderId="27" xfId="0" applyNumberFormat="1" applyFont="1" applyFill="1" applyBorder="1" applyAlignment="1" applyProtection="1">
      <alignment vertical="center"/>
    </xf>
    <xf numFmtId="10" fontId="11" fillId="0" borderId="21" xfId="0" applyNumberFormat="1" applyFont="1" applyFill="1" applyBorder="1" applyProtection="1"/>
    <xf numFmtId="10" fontId="11" fillId="0" borderId="3" xfId="0" applyNumberFormat="1" applyFont="1" applyFill="1" applyBorder="1" applyProtection="1"/>
    <xf numFmtId="164" fontId="11" fillId="15" borderId="2" xfId="21" applyBorder="1">
      <alignment vertical="center"/>
    </xf>
    <xf numFmtId="164" fontId="11" fillId="15" borderId="22" xfId="21" applyBorder="1">
      <alignment vertical="center"/>
    </xf>
    <xf numFmtId="164" fontId="11" fillId="15" borderId="0" xfId="21" applyBorder="1">
      <alignment vertical="center"/>
    </xf>
    <xf numFmtId="164" fontId="11" fillId="14" borderId="24" xfId="20" applyBorder="1">
      <alignment vertical="center"/>
    </xf>
    <xf numFmtId="164" fontId="11" fillId="14" borderId="28" xfId="20" applyBorder="1">
      <alignment vertical="center"/>
    </xf>
    <xf numFmtId="164" fontId="11" fillId="15" borderId="4" xfId="21" applyBorder="1">
      <alignment vertical="center"/>
    </xf>
    <xf numFmtId="164" fontId="11" fillId="15" borderId="33" xfId="21" applyBorder="1">
      <alignment vertical="center"/>
    </xf>
    <xf numFmtId="10" fontId="11" fillId="0" borderId="22" xfId="0" applyNumberFormat="1" applyFont="1" applyFill="1" applyBorder="1" applyAlignment="1" applyProtection="1">
      <alignment vertical="center"/>
    </xf>
    <xf numFmtId="10" fontId="11" fillId="0" borderId="4" xfId="0" applyNumberFormat="1" applyFont="1" applyFill="1" applyBorder="1" applyAlignment="1" applyProtection="1">
      <alignment vertical="center"/>
    </xf>
    <xf numFmtId="10" fontId="11" fillId="0" borderId="2" xfId="0" applyNumberFormat="1" applyFont="1" applyFill="1" applyBorder="1" applyProtection="1"/>
    <xf numFmtId="10" fontId="11" fillId="0" borderId="1" xfId="0" applyNumberFormat="1" applyFont="1" applyFill="1" applyBorder="1" applyProtection="1"/>
    <xf numFmtId="0" fontId="11" fillId="0" borderId="35" xfId="0" applyFont="1" applyFill="1" applyBorder="1" applyProtection="1"/>
    <xf numFmtId="164" fontId="0" fillId="0" borderId="3" xfId="0" applyNumberFormat="1" applyBorder="1"/>
    <xf numFmtId="164" fontId="16" fillId="14" borderId="24" xfId="20" applyFont="1" applyBorder="1">
      <alignment vertical="center"/>
    </xf>
    <xf numFmtId="164" fontId="16" fillId="14" borderId="28" xfId="20" applyFont="1" applyBorder="1">
      <alignment vertical="center"/>
    </xf>
    <xf numFmtId="164" fontId="16" fillId="14" borderId="32" xfId="20" applyFont="1" applyBorder="1">
      <alignment vertical="center"/>
    </xf>
    <xf numFmtId="3" fontId="16" fillId="0" borderId="33" xfId="0" applyNumberFormat="1" applyFont="1" applyFill="1" applyBorder="1" applyAlignment="1" applyProtection="1">
      <alignment vertical="center"/>
    </xf>
    <xf numFmtId="0" fontId="11" fillId="0" borderId="2" xfId="0" applyFont="1" applyFill="1" applyBorder="1" applyProtection="1"/>
    <xf numFmtId="0" fontId="11" fillId="0" borderId="30" xfId="0" applyFont="1" applyFill="1" applyBorder="1" applyAlignment="1" applyProtection="1">
      <alignment vertical="center"/>
    </xf>
    <xf numFmtId="0" fontId="11" fillId="0" borderId="32" xfId="0" applyFont="1" applyFill="1" applyBorder="1" applyAlignment="1" applyProtection="1">
      <alignment vertical="center"/>
    </xf>
    <xf numFmtId="164" fontId="18" fillId="10" borderId="30" xfId="11" applyFont="1" applyBorder="1">
      <alignment vertical="center"/>
    </xf>
    <xf numFmtId="164" fontId="18" fillId="10" borderId="31" xfId="11" applyFont="1" applyBorder="1">
      <alignment vertical="center"/>
    </xf>
    <xf numFmtId="164" fontId="18" fillId="10" borderId="44" xfId="11" applyFont="1" applyBorder="1">
      <alignment vertical="center"/>
    </xf>
    <xf numFmtId="0" fontId="25" fillId="0" borderId="0" xfId="0" applyFont="1" applyFill="1" applyProtection="1"/>
    <xf numFmtId="164" fontId="18" fillId="10" borderId="32" xfId="11" applyFont="1" applyBorder="1">
      <alignment vertical="center"/>
    </xf>
    <xf numFmtId="3" fontId="16" fillId="0" borderId="35" xfId="0" applyNumberFormat="1" applyFont="1" applyFill="1" applyBorder="1" applyAlignment="1" applyProtection="1">
      <alignment vertical="center"/>
    </xf>
    <xf numFmtId="0" fontId="11" fillId="0" borderId="33" xfId="0" applyFont="1" applyFill="1" applyBorder="1" applyProtection="1"/>
    <xf numFmtId="164" fontId="18" fillId="17" borderId="1" xfId="23" applyFont="1" applyBorder="1">
      <alignment vertical="center"/>
    </xf>
    <xf numFmtId="164" fontId="18" fillId="17" borderId="21" xfId="23" applyFont="1" applyBorder="1">
      <alignment vertical="center"/>
    </xf>
    <xf numFmtId="164" fontId="18" fillId="17" borderId="3" xfId="23" applyFont="1" applyBorder="1">
      <alignment vertical="center"/>
    </xf>
    <xf numFmtId="10" fontId="25" fillId="17" borderId="21" xfId="23" applyNumberFormat="1" applyFont="1" applyBorder="1">
      <alignment vertical="center"/>
    </xf>
    <xf numFmtId="164" fontId="18" fillId="10" borderId="1" xfId="11" applyFont="1" applyBorder="1">
      <alignment vertical="center"/>
    </xf>
    <xf numFmtId="164" fontId="18" fillId="10" borderId="21" xfId="11" applyFont="1" applyBorder="1">
      <alignment vertical="center"/>
    </xf>
    <xf numFmtId="0" fontId="25" fillId="0" borderId="0" xfId="0" applyFont="1" applyFill="1" applyBorder="1" applyProtection="1"/>
    <xf numFmtId="164" fontId="18" fillId="10" borderId="3" xfId="11" applyFont="1" applyBorder="1">
      <alignment vertical="center"/>
    </xf>
    <xf numFmtId="0" fontId="11" fillId="0" borderId="2" xfId="0" applyFont="1" applyFill="1" applyBorder="1" applyAlignment="1" applyProtection="1">
      <alignment vertical="center"/>
    </xf>
    <xf numFmtId="0" fontId="11" fillId="0" borderId="4" xfId="0" applyFont="1" applyFill="1" applyBorder="1" applyAlignment="1" applyProtection="1">
      <alignment vertical="center"/>
    </xf>
    <xf numFmtId="0" fontId="16" fillId="0" borderId="32" xfId="0" applyFont="1" applyFill="1" applyBorder="1" applyAlignment="1" applyProtection="1">
      <alignment vertical="center"/>
    </xf>
    <xf numFmtId="0" fontId="27" fillId="20" borderId="1" xfId="27" applyFont="1" applyBorder="1" applyAlignment="1" applyProtection="1">
      <alignment horizontal="left" vertical="center"/>
    </xf>
    <xf numFmtId="0" fontId="27" fillId="20" borderId="21" xfId="27" applyFont="1" applyBorder="1" applyAlignment="1" applyProtection="1">
      <alignment vertical="center" wrapText="1"/>
    </xf>
    <xf numFmtId="0" fontId="27" fillId="20" borderId="21" xfId="27" applyFont="1" applyBorder="1" applyAlignment="1" applyProtection="1">
      <alignment wrapText="1"/>
    </xf>
    <xf numFmtId="4" fontId="27" fillId="20" borderId="21" xfId="27" applyNumberFormat="1" applyFont="1" applyBorder="1" applyProtection="1"/>
    <xf numFmtId="0" fontId="27" fillId="20" borderId="21" xfId="27" applyFont="1" applyBorder="1" applyProtection="1"/>
    <xf numFmtId="164" fontId="27" fillId="20" borderId="3" xfId="27" applyNumberFormat="1" applyFont="1" applyBorder="1" applyProtection="1"/>
    <xf numFmtId="164" fontId="27" fillId="20" borderId="1" xfId="27" applyNumberFormat="1" applyFont="1" applyBorder="1" applyProtection="1"/>
    <xf numFmtId="164" fontId="27" fillId="20" borderId="21" xfId="27" applyNumberFormat="1" applyFont="1" applyBorder="1" applyProtection="1"/>
    <xf numFmtId="0" fontId="11" fillId="26" borderId="1" xfId="29" applyFont="1" applyBorder="1" applyAlignment="1" applyProtection="1">
      <alignment horizontal="left" vertical="center"/>
    </xf>
    <xf numFmtId="0" fontId="11" fillId="26" borderId="21" xfId="29" applyFont="1" applyBorder="1" applyAlignment="1" applyProtection="1">
      <alignment vertical="center" wrapText="1"/>
    </xf>
    <xf numFmtId="0" fontId="11" fillId="26" borderId="21" xfId="29" applyFont="1" applyBorder="1" applyAlignment="1" applyProtection="1">
      <alignment wrapText="1"/>
    </xf>
    <xf numFmtId="4" fontId="11" fillId="26" borderId="21" xfId="29" applyNumberFormat="1" applyFont="1" applyBorder="1" applyProtection="1"/>
    <xf numFmtId="0" fontId="11" fillId="26" borderId="21" xfId="29" applyFont="1" applyBorder="1" applyProtection="1"/>
    <xf numFmtId="164" fontId="11" fillId="26" borderId="3" xfId="29" applyNumberFormat="1" applyFont="1" applyBorder="1" applyProtection="1"/>
    <xf numFmtId="164" fontId="11" fillId="26" borderId="21" xfId="29" applyNumberFormat="1" applyFont="1" applyBorder="1" applyProtection="1"/>
    <xf numFmtId="164" fontId="11" fillId="26" borderId="1" xfId="29" applyNumberFormat="1" applyFont="1" applyBorder="1" applyProtection="1"/>
    <xf numFmtId="164" fontId="11" fillId="26" borderId="35" xfId="29" applyNumberFormat="1" applyFont="1" applyBorder="1" applyProtection="1"/>
    <xf numFmtId="164" fontId="11" fillId="26" borderId="0" xfId="29" applyNumberFormat="1" applyFont="1" applyBorder="1" applyProtection="1"/>
    <xf numFmtId="164" fontId="11" fillId="26" borderId="33" xfId="29" applyNumberFormat="1" applyFont="1" applyBorder="1" applyProtection="1"/>
    <xf numFmtId="166" fontId="21" fillId="21" borderId="0" xfId="7" applyNumberFormat="1" applyFont="1" applyFill="1" applyBorder="1" applyAlignment="1" applyProtection="1">
      <alignment vertical="center"/>
    </xf>
    <xf numFmtId="166" fontId="21" fillId="21" borderId="33" xfId="7" applyNumberFormat="1" applyFont="1" applyFill="1" applyBorder="1" applyAlignment="1" applyProtection="1">
      <alignment vertical="center"/>
    </xf>
    <xf numFmtId="164" fontId="11" fillId="2" borderId="38" xfId="14" applyBorder="1" applyProtection="1">
      <alignment vertical="center"/>
    </xf>
    <xf numFmtId="49" fontId="11" fillId="0" borderId="48" xfId="0" applyNumberFormat="1" applyFont="1" applyFill="1" applyBorder="1" applyAlignment="1" applyProtection="1">
      <alignment vertical="center" wrapText="1"/>
    </xf>
    <xf numFmtId="0" fontId="11" fillId="0" borderId="11" xfId="0" applyFont="1" applyFill="1" applyBorder="1" applyAlignment="1" applyProtection="1">
      <alignment vertical="center" wrapText="1"/>
    </xf>
    <xf numFmtId="3" fontId="11" fillId="0" borderId="51" xfId="0" applyNumberFormat="1" applyFont="1" applyFill="1" applyBorder="1" applyAlignment="1" applyProtection="1">
      <alignment vertical="center"/>
    </xf>
    <xf numFmtId="3" fontId="11" fillId="0" borderId="11" xfId="0" applyNumberFormat="1" applyFont="1" applyFill="1" applyBorder="1" applyAlignment="1" applyProtection="1">
      <alignment vertical="center"/>
    </xf>
    <xf numFmtId="49" fontId="11" fillId="0" borderId="2" xfId="0" applyNumberFormat="1" applyFont="1" applyFill="1" applyBorder="1" applyAlignment="1" applyProtection="1">
      <alignment vertical="center" wrapText="1"/>
    </xf>
    <xf numFmtId="3" fontId="11" fillId="0" borderId="45" xfId="0" applyNumberFormat="1" applyFont="1" applyFill="1" applyBorder="1" applyAlignment="1" applyProtection="1">
      <alignment vertical="center"/>
    </xf>
    <xf numFmtId="3" fontId="11" fillId="0" borderId="22" xfId="0" applyNumberFormat="1" applyFont="1" applyFill="1" applyBorder="1" applyAlignment="1" applyProtection="1">
      <alignment vertical="center"/>
    </xf>
    <xf numFmtId="164" fontId="11" fillId="2" borderId="0" xfId="14" applyBorder="1" applyProtection="1">
      <alignment vertical="center"/>
    </xf>
    <xf numFmtId="164" fontId="11" fillId="2" borderId="39" xfId="14" applyBorder="1" applyProtection="1">
      <alignment vertical="center"/>
    </xf>
    <xf numFmtId="164" fontId="11" fillId="2" borderId="50" xfId="14" applyBorder="1" applyProtection="1">
      <alignment vertical="center"/>
    </xf>
    <xf numFmtId="164" fontId="11" fillId="2" borderId="14" xfId="14" applyBorder="1" applyProtection="1">
      <alignment vertical="center"/>
    </xf>
    <xf numFmtId="0" fontId="16" fillId="0" borderId="31" xfId="0" applyFont="1" applyFill="1" applyBorder="1" applyAlignment="1" applyProtection="1">
      <alignment vertical="center"/>
    </xf>
    <xf numFmtId="164" fontId="11" fillId="14" borderId="48" xfId="20" applyBorder="1">
      <alignment vertical="center"/>
    </xf>
    <xf numFmtId="164" fontId="11" fillId="14" borderId="43" xfId="20" applyBorder="1">
      <alignment vertical="center"/>
    </xf>
    <xf numFmtId="164" fontId="11" fillId="14" borderId="51" xfId="20" applyBorder="1">
      <alignment vertical="center"/>
    </xf>
    <xf numFmtId="164" fontId="11" fillId="2" borderId="21" xfId="14" applyBorder="1">
      <alignment vertical="center"/>
    </xf>
    <xf numFmtId="10" fontId="11" fillId="2" borderId="21" xfId="1" applyNumberFormat="1" applyFont="1" applyFill="1" applyBorder="1" applyAlignment="1">
      <alignment vertical="center"/>
    </xf>
    <xf numFmtId="164" fontId="11" fillId="2" borderId="35" xfId="14" applyBorder="1" applyProtection="1">
      <alignment vertical="center"/>
    </xf>
    <xf numFmtId="164" fontId="11" fillId="2" borderId="23" xfId="14" applyBorder="1">
      <alignment vertical="center"/>
    </xf>
    <xf numFmtId="0" fontId="11" fillId="0" borderId="30" xfId="0" applyFont="1" applyFill="1" applyBorder="1" applyProtection="1"/>
    <xf numFmtId="0" fontId="11" fillId="0" borderId="31" xfId="0" applyFont="1" applyFill="1" applyBorder="1" applyAlignment="1" applyProtection="1">
      <alignment wrapText="1"/>
    </xf>
    <xf numFmtId="4" fontId="11" fillId="0" borderId="31" xfId="0" applyNumberFormat="1" applyFont="1" applyFill="1" applyBorder="1" applyProtection="1"/>
    <xf numFmtId="0" fontId="11" fillId="0" borderId="31" xfId="0" applyFont="1" applyFill="1" applyBorder="1" applyProtection="1"/>
    <xf numFmtId="0" fontId="11" fillId="0" borderId="32" xfId="0" applyFont="1" applyFill="1" applyBorder="1" applyProtection="1"/>
    <xf numFmtId="10" fontId="11" fillId="0" borderId="2" xfId="0" applyNumberFormat="1" applyFont="1" applyFill="1" applyBorder="1" applyAlignment="1" applyProtection="1">
      <alignment vertical="center"/>
    </xf>
    <xf numFmtId="164" fontId="11" fillId="2" borderId="17" xfId="14" applyBorder="1">
      <alignment vertical="center"/>
    </xf>
    <xf numFmtId="164" fontId="11" fillId="2" borderId="18" xfId="14" applyBorder="1">
      <alignment vertical="center"/>
    </xf>
    <xf numFmtId="164" fontId="11" fillId="2" borderId="19" xfId="14" applyBorder="1">
      <alignment vertical="center"/>
    </xf>
    <xf numFmtId="164" fontId="11" fillId="2" borderId="20" xfId="14" applyBorder="1">
      <alignment vertical="center"/>
    </xf>
    <xf numFmtId="164" fontId="11" fillId="2" borderId="53" xfId="14" applyBorder="1">
      <alignment vertical="center"/>
    </xf>
    <xf numFmtId="164" fontId="11" fillId="2" borderId="47" xfId="14" applyBorder="1">
      <alignment vertical="center"/>
    </xf>
    <xf numFmtId="164" fontId="11" fillId="15" borderId="31" xfId="21" applyBorder="1">
      <alignment vertical="center"/>
    </xf>
    <xf numFmtId="0" fontId="24" fillId="0" borderId="31" xfId="0" applyFont="1" applyFill="1" applyBorder="1" applyAlignment="1" applyProtection="1">
      <alignment vertical="center" wrapText="1"/>
    </xf>
    <xf numFmtId="3" fontId="11" fillId="0" borderId="31" xfId="0" applyNumberFormat="1" applyFont="1" applyFill="1" applyBorder="1" applyAlignment="1" applyProtection="1">
      <alignment vertical="center"/>
    </xf>
    <xf numFmtId="3" fontId="16" fillId="0" borderId="32" xfId="0" applyNumberFormat="1" applyFont="1" applyFill="1" applyBorder="1" applyAlignment="1" applyProtection="1">
      <alignment vertical="center"/>
    </xf>
    <xf numFmtId="0" fontId="16" fillId="0" borderId="30" xfId="0" applyFont="1" applyFill="1" applyBorder="1" applyAlignment="1" applyProtection="1">
      <alignment vertical="center"/>
    </xf>
    <xf numFmtId="10" fontId="11" fillId="0" borderId="31" xfId="0" applyNumberFormat="1" applyFont="1" applyFill="1" applyBorder="1" applyProtection="1"/>
    <xf numFmtId="10" fontId="11" fillId="0" borderId="32" xfId="0" applyNumberFormat="1" applyFont="1" applyFill="1" applyBorder="1" applyProtection="1"/>
    <xf numFmtId="164" fontId="16" fillId="15" borderId="3" xfId="21" applyFont="1" applyBorder="1">
      <alignment vertical="center"/>
    </xf>
    <xf numFmtId="164" fontId="11" fillId="2" borderId="29" xfId="14" applyBorder="1" applyProtection="1">
      <alignment vertical="center"/>
    </xf>
    <xf numFmtId="164" fontId="11" fillId="2" borderId="46" xfId="14" applyBorder="1" applyProtection="1">
      <alignment vertical="center"/>
    </xf>
    <xf numFmtId="164" fontId="11" fillId="14" borderId="34" xfId="20" applyBorder="1">
      <alignment vertical="center"/>
    </xf>
    <xf numFmtId="0" fontId="11" fillId="6" borderId="42" xfId="9" applyFont="1" applyBorder="1" applyAlignment="1" applyProtection="1">
      <alignment horizontal="left" vertical="center"/>
    </xf>
    <xf numFmtId="14" fontId="11" fillId="6" borderId="10" xfId="9" applyNumberFormat="1" applyFont="1" applyBorder="1" applyProtection="1"/>
    <xf numFmtId="4" fontId="11" fillId="6" borderId="10" xfId="9" applyNumberFormat="1" applyFont="1" applyBorder="1" applyProtection="1"/>
    <xf numFmtId="0" fontId="11" fillId="6" borderId="10" xfId="9" applyFont="1" applyBorder="1" applyProtection="1"/>
    <xf numFmtId="164" fontId="11" fillId="6" borderId="41" xfId="9" applyNumberFormat="1" applyFont="1" applyBorder="1" applyProtection="1"/>
    <xf numFmtId="49" fontId="11" fillId="6" borderId="25" xfId="9" applyNumberFormat="1" applyFont="1" applyBorder="1" applyProtection="1"/>
    <xf numFmtId="0" fontId="11" fillId="6" borderId="12" xfId="9" applyFont="1" applyBorder="1" applyProtection="1"/>
    <xf numFmtId="164" fontId="11" fillId="6" borderId="39" xfId="9" applyNumberFormat="1" applyFont="1" applyBorder="1" applyProtection="1"/>
    <xf numFmtId="4" fontId="11" fillId="6" borderId="12" xfId="9" applyNumberFormat="1" applyFont="1" applyBorder="1" applyProtection="1"/>
    <xf numFmtId="164" fontId="16" fillId="6" borderId="39" xfId="9" applyNumberFormat="1" applyFont="1" applyBorder="1" applyProtection="1"/>
    <xf numFmtId="164" fontId="16" fillId="6" borderId="37" xfId="9" applyNumberFormat="1" applyFont="1" applyBorder="1" applyProtection="1"/>
    <xf numFmtId="164" fontId="11" fillId="6" borderId="23" xfId="9" applyNumberFormat="1" applyFont="1" applyBorder="1" applyProtection="1"/>
    <xf numFmtId="164" fontId="11" fillId="6" borderId="15" xfId="9" applyNumberFormat="1" applyFont="1" applyBorder="1" applyProtection="1"/>
    <xf numFmtId="164" fontId="11" fillId="6" borderId="24" xfId="9" applyNumberFormat="1" applyFont="1" applyBorder="1" applyProtection="1"/>
    <xf numFmtId="164" fontId="11" fillId="6" borderId="12" xfId="9" applyNumberFormat="1" applyFont="1" applyBorder="1" applyProtection="1"/>
    <xf numFmtId="164" fontId="11" fillId="6" borderId="25" xfId="9" applyNumberFormat="1" applyFont="1" applyBorder="1" applyProtection="1"/>
    <xf numFmtId="164" fontId="11" fillId="6" borderId="26" xfId="9" applyNumberFormat="1" applyFont="1" applyBorder="1" applyProtection="1"/>
    <xf numFmtId="164" fontId="16" fillId="16" borderId="1" xfId="22" applyFont="1" applyBorder="1" applyAlignment="1">
      <alignment horizontal="left" vertical="center"/>
    </xf>
    <xf numFmtId="164" fontId="16" fillId="16" borderId="21" xfId="22" applyFont="1" applyBorder="1" applyAlignment="1">
      <alignment horizontal="left" vertical="center"/>
    </xf>
    <xf numFmtId="164" fontId="16" fillId="16" borderId="3" xfId="22" applyFont="1" applyBorder="1" applyAlignment="1">
      <alignment horizontal="left" vertical="center"/>
    </xf>
    <xf numFmtId="0" fontId="16" fillId="16" borderId="22" xfId="22" applyNumberFormat="1" applyFont="1" applyBorder="1" applyAlignment="1">
      <alignment horizontal="center" vertical="center"/>
    </xf>
    <xf numFmtId="164" fontId="18" fillId="17" borderId="36" xfId="23" applyFont="1" applyBorder="1">
      <alignment vertical="center"/>
    </xf>
    <xf numFmtId="0" fontId="11" fillId="0" borderId="45" xfId="0" applyFont="1" applyFill="1" applyBorder="1" applyProtection="1"/>
    <xf numFmtId="164" fontId="11" fillId="2" borderId="36" xfId="14" applyBorder="1" applyProtection="1">
      <alignment vertical="center"/>
    </xf>
    <xf numFmtId="164" fontId="11" fillId="26" borderId="36" xfId="29" applyNumberFormat="1" applyFont="1" applyBorder="1" applyProtection="1"/>
    <xf numFmtId="0" fontId="11" fillId="0" borderId="38" xfId="0" applyFont="1" applyFill="1" applyBorder="1" applyProtection="1"/>
    <xf numFmtId="14" fontId="17" fillId="10" borderId="33" xfId="11" applyNumberFormat="1" applyBorder="1">
      <alignment vertical="center"/>
    </xf>
    <xf numFmtId="164" fontId="11" fillId="2" borderId="33" xfId="14" applyBorder="1" applyProtection="1">
      <alignment vertical="center"/>
    </xf>
    <xf numFmtId="167" fontId="0" fillId="0" borderId="0" xfId="7" applyNumberFormat="1" applyFont="1"/>
    <xf numFmtId="164" fontId="0" fillId="0" borderId="0" xfId="0" applyNumberFormat="1"/>
    <xf numFmtId="164" fontId="11" fillId="29" borderId="48" xfId="0" applyNumberFormat="1" applyFont="1" applyFill="1" applyBorder="1" applyProtection="1"/>
    <xf numFmtId="164" fontId="11" fillId="29" borderId="35" xfId="0" applyNumberFormat="1" applyFont="1" applyFill="1" applyBorder="1" applyProtection="1"/>
    <xf numFmtId="164" fontId="11" fillId="29" borderId="42" xfId="0" applyNumberFormat="1" applyFont="1" applyFill="1" applyBorder="1" applyProtection="1"/>
    <xf numFmtId="1" fontId="16" fillId="16" borderId="22" xfId="22" applyNumberFormat="1" applyFont="1" applyBorder="1" applyAlignment="1">
      <alignment horizontal="center" vertical="center"/>
    </xf>
    <xf numFmtId="1" fontId="16" fillId="16" borderId="4" xfId="22" applyNumberFormat="1" applyFont="1" applyBorder="1" applyAlignment="1">
      <alignment horizontal="center" vertical="center"/>
    </xf>
    <xf numFmtId="1" fontId="17" fillId="10" borderId="0" xfId="11" applyNumberFormat="1" applyBorder="1">
      <alignment vertical="center"/>
    </xf>
    <xf numFmtId="1" fontId="17" fillId="10" borderId="33" xfId="11" applyNumberFormat="1" applyBorder="1">
      <alignment vertical="center"/>
    </xf>
    <xf numFmtId="14" fontId="16" fillId="16" borderId="30" xfId="22" applyNumberFormat="1" applyFont="1" applyBorder="1" applyAlignment="1">
      <alignment horizontal="center" vertical="center"/>
    </xf>
    <xf numFmtId="1" fontId="16" fillId="16" borderId="32" xfId="22" applyNumberFormat="1" applyFont="1" applyBorder="1" applyAlignment="1">
      <alignment horizontal="center" vertical="center"/>
    </xf>
    <xf numFmtId="164" fontId="11" fillId="2" borderId="26" xfId="14" applyBorder="1" applyProtection="1">
      <alignment vertical="center"/>
    </xf>
    <xf numFmtId="0" fontId="11" fillId="0" borderId="4" xfId="0" applyFont="1" applyFill="1" applyBorder="1" applyProtection="1"/>
    <xf numFmtId="164" fontId="11" fillId="2" borderId="24" xfId="14" applyBorder="1">
      <alignment vertical="center"/>
    </xf>
    <xf numFmtId="164" fontId="0" fillId="0" borderId="35" xfId="0" applyNumberFormat="1" applyBorder="1"/>
    <xf numFmtId="164" fontId="0" fillId="0" borderId="33" xfId="0" applyNumberFormat="1" applyBorder="1"/>
    <xf numFmtId="10" fontId="11" fillId="26" borderId="21" xfId="1" applyNumberFormat="1" applyFont="1" applyFill="1" applyBorder="1" applyProtection="1"/>
    <xf numFmtId="0" fontId="11" fillId="5" borderId="30" xfId="6" applyFont="1" applyBorder="1" applyProtection="1"/>
    <xf numFmtId="0" fontId="11" fillId="5" borderId="31" xfId="6" applyFont="1" applyBorder="1" applyProtection="1"/>
    <xf numFmtId="164" fontId="11" fillId="5" borderId="31" xfId="6" applyNumberFormat="1" applyFont="1" applyBorder="1" applyProtection="1"/>
    <xf numFmtId="164" fontId="11" fillId="5" borderId="32" xfId="6" applyNumberFormat="1" applyFont="1" applyBorder="1" applyProtection="1"/>
    <xf numFmtId="164" fontId="4" fillId="24" borderId="33" xfId="28" applyNumberFormat="1" applyBorder="1" applyAlignment="1" applyProtection="1">
      <alignment vertical="center"/>
    </xf>
    <xf numFmtId="164" fontId="4" fillId="24" borderId="48" xfId="28" applyNumberFormat="1" applyBorder="1" applyAlignment="1" applyProtection="1">
      <alignment vertical="center"/>
    </xf>
    <xf numFmtId="164" fontId="4" fillId="24" borderId="35" xfId="28" applyNumberFormat="1" applyBorder="1" applyAlignment="1" applyProtection="1">
      <alignment vertical="center"/>
    </xf>
    <xf numFmtId="164" fontId="4" fillId="24" borderId="42" xfId="28" applyNumberFormat="1" applyBorder="1" applyAlignment="1" applyProtection="1">
      <alignment vertical="center"/>
    </xf>
    <xf numFmtId="0" fontId="5" fillId="0" borderId="9" xfId="0" applyFont="1" applyFill="1" applyBorder="1" applyAlignment="1" applyProtection="1">
      <alignment vertical="center" wrapText="1"/>
    </xf>
    <xf numFmtId="0" fontId="5" fillId="0" borderId="5" xfId="0" applyFont="1" applyFill="1" applyBorder="1" applyAlignment="1" applyProtection="1">
      <alignment vertical="center" wrapText="1"/>
    </xf>
    <xf numFmtId="0" fontId="5" fillId="0" borderId="49" xfId="0" applyFont="1" applyFill="1" applyBorder="1" applyAlignment="1" applyProtection="1">
      <alignment vertical="center" wrapText="1"/>
    </xf>
    <xf numFmtId="0" fontId="5" fillId="0" borderId="54" xfId="0" applyFont="1" applyFill="1" applyBorder="1" applyAlignment="1" applyProtection="1">
      <alignment vertical="center" wrapText="1"/>
    </xf>
    <xf numFmtId="0" fontId="5" fillId="0" borderId="13" xfId="0" applyFont="1" applyFill="1" applyBorder="1" applyAlignment="1" applyProtection="1">
      <alignment vertical="center" wrapText="1"/>
    </xf>
    <xf numFmtId="0" fontId="11" fillId="0" borderId="17" xfId="6" applyFont="1" applyFill="1" applyBorder="1" applyAlignment="1" applyProtection="1">
      <alignment vertical="top" wrapText="1"/>
    </xf>
    <xf numFmtId="0" fontId="5" fillId="0" borderId="19" xfId="0" applyFont="1" applyFill="1" applyBorder="1" applyAlignment="1" applyProtection="1">
      <alignment vertical="center" wrapText="1"/>
    </xf>
    <xf numFmtId="0" fontId="13" fillId="0" borderId="1" xfId="0" applyFont="1" applyFill="1" applyBorder="1" applyAlignment="1" applyProtection="1">
      <alignment vertical="center" wrapText="1"/>
    </xf>
    <xf numFmtId="0" fontId="13" fillId="0" borderId="3" xfId="0" applyFont="1" applyFill="1" applyBorder="1" applyAlignment="1" applyProtection="1">
      <alignment vertical="center" wrapText="1"/>
    </xf>
    <xf numFmtId="0" fontId="11" fillId="0" borderId="3" xfId="0" applyFont="1" applyFill="1" applyBorder="1" applyAlignment="1" applyProtection="1">
      <alignment vertical="center" wrapText="1"/>
    </xf>
    <xf numFmtId="0" fontId="13" fillId="0" borderId="36" xfId="0" applyFont="1" applyFill="1" applyBorder="1" applyAlignment="1" applyProtection="1">
      <alignment vertical="center" wrapText="1"/>
    </xf>
    <xf numFmtId="0" fontId="4" fillId="24" borderId="5" xfId="28" applyBorder="1" applyProtection="1"/>
    <xf numFmtId="1" fontId="16" fillId="16" borderId="2" xfId="22" applyNumberFormat="1" applyFont="1" applyBorder="1" applyAlignment="1">
      <alignment horizontal="center" vertical="center"/>
    </xf>
    <xf numFmtId="0" fontId="16" fillId="16" borderId="4" xfId="22" applyNumberFormat="1" applyFont="1" applyBorder="1" applyAlignment="1">
      <alignment horizontal="center" vertical="center"/>
    </xf>
    <xf numFmtId="164" fontId="11" fillId="0" borderId="25" xfId="0" applyNumberFormat="1" applyFont="1" applyFill="1" applyBorder="1" applyProtection="1"/>
    <xf numFmtId="14" fontId="17" fillId="10" borderId="0" xfId="11" applyNumberFormat="1" applyBorder="1">
      <alignment vertical="center"/>
    </xf>
    <xf numFmtId="164" fontId="0" fillId="0" borderId="0" xfId="0" applyNumberFormat="1" applyBorder="1"/>
    <xf numFmtId="1" fontId="17" fillId="10" borderId="35" xfId="11" applyNumberFormat="1" applyBorder="1">
      <alignment vertical="center"/>
    </xf>
    <xf numFmtId="0" fontId="17" fillId="10" borderId="33" xfId="11" applyNumberFormat="1" applyBorder="1">
      <alignment vertical="center"/>
    </xf>
    <xf numFmtId="166" fontId="21" fillId="21" borderId="35" xfId="7" applyNumberFormat="1" applyFont="1" applyFill="1" applyBorder="1" applyAlignment="1" applyProtection="1">
      <alignment vertical="center"/>
    </xf>
    <xf numFmtId="0" fontId="16" fillId="0" borderId="1" xfId="0" applyFont="1" applyFill="1" applyBorder="1" applyAlignment="1" applyProtection="1">
      <alignment vertical="center"/>
    </xf>
    <xf numFmtId="0" fontId="16" fillId="0" borderId="3" xfId="0" applyFont="1" applyFill="1" applyBorder="1" applyAlignment="1" applyProtection="1">
      <alignment vertical="center"/>
    </xf>
    <xf numFmtId="10" fontId="11" fillId="0" borderId="30" xfId="0" applyNumberFormat="1" applyFont="1" applyFill="1" applyBorder="1" applyProtection="1"/>
    <xf numFmtId="0" fontId="16" fillId="27" borderId="22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Fill="1" applyBorder="1" applyProtection="1">
      <protection locked="0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Protection="1">
      <protection locked="0"/>
    </xf>
    <xf numFmtId="0" fontId="16" fillId="0" borderId="0" xfId="0" applyFont="1" applyFill="1" applyBorder="1" applyAlignment="1" applyProtection="1">
      <alignment vertical="center"/>
      <protection locked="0"/>
    </xf>
    <xf numFmtId="168" fontId="28" fillId="0" borderId="22" xfId="0" applyNumberFormat="1" applyFont="1" applyBorder="1" applyAlignment="1" applyProtection="1">
      <alignment vertical="center"/>
      <protection locked="0"/>
    </xf>
    <xf numFmtId="0" fontId="2" fillId="0" borderId="22" xfId="0" applyFont="1" applyBorder="1" applyAlignment="1" applyProtection="1">
      <alignment horizontal="left"/>
      <protection locked="0"/>
    </xf>
    <xf numFmtId="168" fontId="28" fillId="0" borderId="0" xfId="0" applyNumberFormat="1" applyFont="1" applyBorder="1" applyAlignment="1" applyProtection="1">
      <alignment vertical="center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9" fillId="0" borderId="0" xfId="0" applyFont="1" applyFill="1" applyBorder="1" applyAlignment="1" applyProtection="1">
      <alignment horizontal="center"/>
      <protection locked="0"/>
    </xf>
    <xf numFmtId="0" fontId="2" fillId="25" borderId="15" xfId="37" applyFont="1" applyBorder="1" applyAlignment="1" applyProtection="1">
      <alignment vertical="center" wrapText="1"/>
      <protection locked="0"/>
    </xf>
    <xf numFmtId="0" fontId="2" fillId="25" borderId="15" xfId="37" applyBorder="1" applyAlignment="1" applyProtection="1">
      <alignment horizontal="center" vertical="center" wrapText="1"/>
      <protection locked="0"/>
    </xf>
    <xf numFmtId="0" fontId="11" fillId="0" borderId="0" xfId="0" applyFont="1" applyFill="1" applyBorder="1" applyAlignment="1" applyProtection="1">
      <alignment vertical="center" wrapText="1"/>
      <protection locked="0"/>
    </xf>
    <xf numFmtId="0" fontId="11" fillId="0" borderId="0" xfId="0" applyFont="1" applyFill="1" applyBorder="1" applyAlignment="1" applyProtection="1">
      <alignment horizontal="centerContinuous" vertical="center"/>
      <protection locked="0"/>
    </xf>
    <xf numFmtId="0" fontId="2" fillId="25" borderId="12" xfId="37" applyFont="1" applyBorder="1" applyAlignment="1" applyProtection="1">
      <alignment vertical="center" wrapText="1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1" fillId="0" borderId="12" xfId="0" applyFont="1" applyFill="1" applyBorder="1" applyAlignment="1" applyProtection="1">
      <alignment horizontal="center" vertical="center"/>
      <protection locked="0"/>
    </xf>
    <xf numFmtId="170" fontId="11" fillId="0" borderId="12" xfId="0" applyNumberFormat="1" applyFont="1" applyFill="1" applyBorder="1" applyAlignment="1" applyProtection="1">
      <alignment horizontal="center" vertical="center"/>
      <protection locked="0"/>
    </xf>
    <xf numFmtId="2" fontId="11" fillId="0" borderId="12" xfId="0" applyNumberFormat="1" applyFont="1" applyFill="1" applyBorder="1" applyAlignment="1" applyProtection="1">
      <alignment horizontal="center" vertical="center"/>
      <protection locked="0"/>
    </xf>
    <xf numFmtId="171" fontId="11" fillId="0" borderId="12" xfId="0" applyNumberFormat="1" applyFont="1" applyFill="1" applyBorder="1" applyAlignment="1" applyProtection="1">
      <alignment horizontal="center" vertical="center"/>
      <protection locked="0"/>
    </xf>
    <xf numFmtId="0" fontId="11" fillId="0" borderId="12" xfId="0" applyFont="1" applyFill="1" applyBorder="1" applyAlignment="1" applyProtection="1">
      <alignment horizontal="center" vertical="center" wrapText="1"/>
      <protection locked="0"/>
    </xf>
    <xf numFmtId="0" fontId="2" fillId="25" borderId="12" xfId="37" applyFont="1" applyBorder="1" applyAlignment="1" applyProtection="1">
      <alignment horizontal="left" vertical="center" wrapText="1"/>
      <protection locked="0"/>
    </xf>
    <xf numFmtId="2" fontId="11" fillId="0" borderId="0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horizontal="centerContinuous"/>
      <protection locked="0"/>
    </xf>
    <xf numFmtId="0" fontId="2" fillId="25" borderId="16" xfId="37" applyFont="1" applyBorder="1" applyAlignment="1" applyProtection="1">
      <alignment vertical="center" wrapText="1"/>
      <protection locked="0"/>
    </xf>
    <xf numFmtId="0" fontId="11" fillId="0" borderId="16" xfId="0" applyFont="1" applyFill="1" applyBorder="1" applyAlignment="1" applyProtection="1">
      <alignment horizontal="center" vertical="center" wrapText="1"/>
      <protection locked="0"/>
    </xf>
    <xf numFmtId="170" fontId="11" fillId="0" borderId="16" xfId="0" applyNumberFormat="1" applyFont="1" applyFill="1" applyBorder="1" applyAlignment="1" applyProtection="1">
      <alignment horizontal="center" vertical="center"/>
      <protection locked="0"/>
    </xf>
    <xf numFmtId="171" fontId="11" fillId="0" borderId="16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11" fillId="0" borderId="16" xfId="0" applyFont="1" applyFill="1" applyBorder="1" applyAlignment="1" applyProtection="1">
      <alignment horizontal="center" vertical="center"/>
      <protection locked="0"/>
    </xf>
    <xf numFmtId="172" fontId="11" fillId="0" borderId="0" xfId="0" applyNumberFormat="1" applyFont="1" applyBorder="1" applyProtection="1">
      <protection locked="0"/>
    </xf>
    <xf numFmtId="0" fontId="16" fillId="27" borderId="22" xfId="0" applyFont="1" applyFill="1" applyBorder="1" applyAlignment="1" applyProtection="1">
      <alignment vertical="center"/>
      <protection locked="0"/>
    </xf>
    <xf numFmtId="0" fontId="11" fillId="7" borderId="12" xfId="0" applyFont="1" applyFill="1" applyBorder="1" applyAlignment="1" applyProtection="1">
      <alignment vertical="center"/>
      <protection locked="0"/>
    </xf>
    <xf numFmtId="0" fontId="16" fillId="27" borderId="22" xfId="0" applyFont="1" applyFill="1" applyBorder="1" applyAlignment="1" applyProtection="1">
      <alignment vertical="center" wrapText="1"/>
      <protection locked="0"/>
    </xf>
    <xf numFmtId="0" fontId="16" fillId="27" borderId="22" xfId="0" applyFont="1" applyFill="1" applyBorder="1" applyAlignment="1" applyProtection="1">
      <alignment horizontal="centerContinuous" vertical="center" wrapText="1"/>
      <protection locked="0"/>
    </xf>
    <xf numFmtId="0" fontId="11" fillId="27" borderId="22" xfId="0" applyFont="1" applyFill="1" applyBorder="1" applyProtection="1">
      <protection locked="0"/>
    </xf>
    <xf numFmtId="0" fontId="11" fillId="7" borderId="15" xfId="0" applyFont="1" applyFill="1" applyBorder="1" applyAlignment="1" applyProtection="1">
      <alignment vertical="center" wrapText="1"/>
      <protection locked="0"/>
    </xf>
    <xf numFmtId="0" fontId="11" fillId="7" borderId="15" xfId="0" applyFont="1" applyFill="1" applyBorder="1" applyProtection="1">
      <protection locked="0"/>
    </xf>
    <xf numFmtId="3" fontId="11" fillId="0" borderId="15" xfId="0" applyNumberFormat="1" applyFont="1" applyFill="1" applyBorder="1" applyAlignment="1" applyProtection="1">
      <alignment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11" fillId="7" borderId="12" xfId="0" applyFont="1" applyFill="1" applyBorder="1" applyAlignment="1" applyProtection="1">
      <alignment vertical="center" wrapText="1"/>
      <protection locked="0"/>
    </xf>
    <xf numFmtId="0" fontId="11" fillId="7" borderId="12" xfId="0" applyFont="1" applyFill="1" applyBorder="1" applyProtection="1">
      <protection locked="0"/>
    </xf>
    <xf numFmtId="3" fontId="11" fillId="0" borderId="12" xfId="0" applyNumberFormat="1" applyFont="1" applyFill="1" applyBorder="1" applyAlignment="1" applyProtection="1">
      <alignment vertical="center" wrapText="1"/>
      <protection locked="0"/>
    </xf>
    <xf numFmtId="3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7" borderId="12" xfId="0" applyFont="1" applyFill="1" applyBorder="1" applyAlignment="1" applyProtection="1">
      <alignment vertical="center" wrapText="1"/>
      <protection locked="0"/>
    </xf>
    <xf numFmtId="3" fontId="16" fillId="0" borderId="12" xfId="0" applyNumberFormat="1" applyFont="1" applyFill="1" applyBorder="1" applyAlignment="1" applyProtection="1">
      <alignment vertical="center"/>
      <protection locked="0"/>
    </xf>
    <xf numFmtId="3" fontId="11" fillId="0" borderId="12" xfId="0" applyNumberFormat="1" applyFont="1" applyFill="1" applyBorder="1" applyAlignment="1" applyProtection="1">
      <alignment vertical="center"/>
      <protection locked="0"/>
    </xf>
    <xf numFmtId="172" fontId="16" fillId="7" borderId="12" xfId="0" applyNumberFormat="1" applyFont="1" applyFill="1" applyBorder="1" applyAlignment="1" applyProtection="1">
      <alignment vertical="center" wrapText="1"/>
      <protection locked="0"/>
    </xf>
    <xf numFmtId="172" fontId="11" fillId="7" borderId="12" xfId="0" applyNumberFormat="1" applyFont="1" applyFill="1" applyBorder="1" applyAlignment="1" applyProtection="1">
      <alignment vertical="center"/>
      <protection locked="0"/>
    </xf>
    <xf numFmtId="3" fontId="35" fillId="0" borderId="12" xfId="0" applyNumberFormat="1" applyFont="1" applyFill="1" applyBorder="1" applyAlignment="1" applyProtection="1">
      <alignment vertical="center"/>
      <protection locked="0"/>
    </xf>
    <xf numFmtId="3" fontId="16" fillId="0" borderId="12" xfId="0" applyNumberFormat="1" applyFont="1" applyFill="1" applyBorder="1" applyAlignment="1" applyProtection="1">
      <alignment horizontal="right" vertical="center"/>
      <protection locked="0"/>
    </xf>
    <xf numFmtId="172" fontId="11" fillId="7" borderId="12" xfId="0" applyNumberFormat="1" applyFont="1" applyFill="1" applyBorder="1" applyAlignment="1" applyProtection="1">
      <alignment vertical="center" wrapText="1"/>
      <protection locked="0"/>
    </xf>
    <xf numFmtId="172" fontId="16" fillId="7" borderId="11" xfId="0" applyNumberFormat="1" applyFont="1" applyFill="1" applyBorder="1" applyAlignment="1" applyProtection="1">
      <alignment vertical="center" wrapText="1"/>
      <protection locked="0"/>
    </xf>
    <xf numFmtId="172" fontId="11" fillId="7" borderId="11" xfId="0" applyNumberFormat="1" applyFont="1" applyFill="1" applyBorder="1" applyAlignment="1" applyProtection="1">
      <alignment vertical="center"/>
      <protection locked="0"/>
    </xf>
    <xf numFmtId="0" fontId="11" fillId="7" borderId="11" xfId="0" applyFont="1" applyFill="1" applyBorder="1" applyProtection="1">
      <protection locked="0"/>
    </xf>
    <xf numFmtId="3" fontId="35" fillId="0" borderId="11" xfId="0" applyNumberFormat="1" applyFont="1" applyFill="1" applyBorder="1" applyAlignment="1" applyProtection="1">
      <alignment vertical="center"/>
      <protection locked="0"/>
    </xf>
    <xf numFmtId="3" fontId="16" fillId="0" borderId="11" xfId="0" applyNumberFormat="1" applyFont="1" applyFill="1" applyBorder="1" applyAlignment="1" applyProtection="1">
      <alignment horizontal="right" vertical="center"/>
      <protection locked="0"/>
    </xf>
    <xf numFmtId="172" fontId="13" fillId="7" borderId="55" xfId="0" applyNumberFormat="1" applyFont="1" applyFill="1" applyBorder="1" applyAlignment="1" applyProtection="1">
      <alignment vertical="center" wrapText="1"/>
      <protection locked="0"/>
    </xf>
    <xf numFmtId="172" fontId="13" fillId="7" borderId="55" xfId="0" applyNumberFormat="1" applyFont="1" applyFill="1" applyBorder="1" applyAlignment="1" applyProtection="1">
      <alignment vertical="center"/>
      <protection locked="0"/>
    </xf>
    <xf numFmtId="172" fontId="33" fillId="7" borderId="55" xfId="0" applyNumberFormat="1" applyFont="1" applyFill="1" applyBorder="1" applyProtection="1">
      <protection locked="0"/>
    </xf>
    <xf numFmtId="3" fontId="36" fillId="0" borderId="55" xfId="0" applyNumberFormat="1" applyFont="1" applyFill="1" applyBorder="1" applyAlignment="1" applyProtection="1">
      <alignment vertical="center"/>
      <protection locked="0"/>
    </xf>
    <xf numFmtId="3" fontId="13" fillId="0" borderId="55" xfId="0" applyNumberFormat="1" applyFont="1" applyFill="1" applyBorder="1" applyAlignment="1" applyProtection="1">
      <alignment horizontal="right" vertical="center"/>
      <protection locked="0"/>
    </xf>
    <xf numFmtId="3" fontId="13" fillId="0" borderId="55" xfId="0" applyNumberFormat="1" applyFont="1" applyFill="1" applyBorder="1" applyAlignment="1" applyProtection="1">
      <alignment vertical="center"/>
      <protection locked="0"/>
    </xf>
    <xf numFmtId="172" fontId="11" fillId="0" borderId="0" xfId="0" applyNumberFormat="1" applyFont="1" applyProtection="1">
      <protection locked="0"/>
    </xf>
    <xf numFmtId="173" fontId="11" fillId="0" borderId="0" xfId="0" applyNumberFormat="1" applyFont="1" applyFill="1" applyBorder="1" applyAlignment="1" applyProtection="1">
      <alignment horizontal="center" vertical="center"/>
      <protection locked="0"/>
    </xf>
    <xf numFmtId="173" fontId="37" fillId="0" borderId="0" xfId="0" applyNumberFormat="1" applyFont="1" applyFill="1" applyBorder="1" applyAlignment="1" applyProtection="1">
      <alignment horizontal="center" vertical="center"/>
      <protection locked="0"/>
    </xf>
    <xf numFmtId="10" fontId="11" fillId="27" borderId="22" xfId="0" applyNumberFormat="1" applyFont="1" applyFill="1" applyBorder="1" applyAlignment="1" applyProtection="1">
      <alignment horizontal="center" vertical="center"/>
      <protection locked="0"/>
    </xf>
    <xf numFmtId="0" fontId="11" fillId="7" borderId="10" xfId="0" applyFont="1" applyFill="1" applyBorder="1" applyAlignment="1" applyProtection="1">
      <alignment vertical="center" wrapText="1"/>
      <protection locked="0"/>
    </xf>
    <xf numFmtId="0" fontId="11" fillId="7" borderId="10" xfId="0" applyFont="1" applyFill="1" applyBorder="1" applyAlignment="1" applyProtection="1">
      <alignment vertical="center"/>
      <protection locked="0"/>
    </xf>
    <xf numFmtId="0" fontId="11" fillId="7" borderId="10" xfId="0" applyFont="1" applyFill="1" applyBorder="1" applyProtection="1">
      <protection locked="0"/>
    </xf>
    <xf numFmtId="4" fontId="11" fillId="0" borderId="10" xfId="0" applyNumberFormat="1" applyFont="1" applyFill="1" applyBorder="1" applyAlignment="1" applyProtection="1">
      <alignment horizontal="center" vertical="center"/>
      <protection locked="0"/>
    </xf>
    <xf numFmtId="172" fontId="11" fillId="0" borderId="0" xfId="0" applyNumberFormat="1" applyFont="1" applyFill="1" applyBorder="1" applyProtection="1">
      <protection locked="0"/>
    </xf>
    <xf numFmtId="4" fontId="11" fillId="7" borderId="12" xfId="0" applyNumberFormat="1" applyFont="1" applyFill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/>
      <protection locked="0"/>
    </xf>
    <xf numFmtId="174" fontId="11" fillId="0" borderId="12" xfId="0" applyNumberFormat="1" applyFont="1" applyFill="1" applyBorder="1" applyAlignment="1" applyProtection="1">
      <alignment horizontal="center" vertical="center"/>
      <protection locked="0"/>
    </xf>
    <xf numFmtId="173" fontId="11" fillId="7" borderId="12" xfId="0" applyNumberFormat="1" applyFont="1" applyFill="1" applyBorder="1" applyAlignment="1" applyProtection="1">
      <alignment horizontal="center" vertical="center"/>
      <protection locked="0"/>
    </xf>
    <xf numFmtId="0" fontId="11" fillId="7" borderId="16" xfId="0" applyFont="1" applyFill="1" applyBorder="1" applyAlignment="1" applyProtection="1">
      <alignment vertical="center" wrapText="1"/>
      <protection locked="0"/>
    </xf>
    <xf numFmtId="0" fontId="11" fillId="7" borderId="16" xfId="0" applyFont="1" applyFill="1" applyBorder="1" applyAlignment="1" applyProtection="1">
      <alignment vertical="center"/>
      <protection locked="0"/>
    </xf>
    <xf numFmtId="173" fontId="11" fillId="7" borderId="16" xfId="0" applyNumberFormat="1" applyFont="1" applyFill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174" fontId="11" fillId="0" borderId="16" xfId="0" applyNumberFormat="1" applyFont="1" applyFill="1" applyBorder="1" applyAlignment="1" applyProtection="1">
      <alignment horizontal="center" vertical="center"/>
      <protection locked="0"/>
    </xf>
    <xf numFmtId="172" fontId="33" fillId="7" borderId="55" xfId="0" applyNumberFormat="1" applyFont="1" applyFill="1" applyBorder="1" applyAlignment="1" applyProtection="1">
      <alignment horizontal="center" vertical="center"/>
      <protection locked="0"/>
    </xf>
    <xf numFmtId="0" fontId="33" fillId="0" borderId="55" xfId="0" applyFont="1" applyBorder="1" applyProtection="1">
      <protection locked="0"/>
    </xf>
    <xf numFmtId="169" fontId="11" fillId="0" borderId="0" xfId="0" applyNumberFormat="1" applyFont="1" applyFill="1" applyBorder="1" applyAlignment="1" applyProtection="1">
      <alignment horizontal="center" vertical="center"/>
      <protection locked="0"/>
    </xf>
    <xf numFmtId="3" fontId="11" fillId="0" borderId="0" xfId="0" applyNumberFormat="1" applyFont="1" applyFill="1" applyBorder="1" applyAlignment="1" applyProtection="1">
      <alignment vertical="center"/>
      <protection locked="0"/>
    </xf>
    <xf numFmtId="172" fontId="13" fillId="27" borderId="55" xfId="0" applyNumberFormat="1" applyFont="1" applyFill="1" applyBorder="1" applyAlignment="1" applyProtection="1">
      <alignment horizontal="left" vertical="center"/>
      <protection locked="0"/>
    </xf>
    <xf numFmtId="172" fontId="13" fillId="27" borderId="55" xfId="0" applyNumberFormat="1" applyFont="1" applyFill="1" applyBorder="1" applyAlignment="1" applyProtection="1">
      <alignment horizontal="centerContinuous" vertical="center"/>
      <protection locked="0"/>
    </xf>
    <xf numFmtId="0" fontId="33" fillId="27" borderId="55" xfId="0" applyFont="1" applyFill="1" applyBorder="1" applyProtection="1">
      <protection locked="0"/>
    </xf>
    <xf numFmtId="3" fontId="13" fillId="27" borderId="55" xfId="0" applyNumberFormat="1" applyFont="1" applyFill="1" applyBorder="1" applyAlignment="1" applyProtection="1">
      <alignment vertical="center"/>
      <protection locked="0"/>
    </xf>
    <xf numFmtId="172" fontId="18" fillId="27" borderId="55" xfId="0" applyNumberFormat="1" applyFont="1" applyFill="1" applyBorder="1" applyAlignment="1" applyProtection="1">
      <alignment vertical="center" wrapText="1"/>
      <protection locked="0"/>
    </xf>
    <xf numFmtId="164" fontId="11" fillId="2" borderId="12" xfId="14" applyBorder="1" applyProtection="1">
      <alignment vertical="center"/>
      <protection locked="0"/>
    </xf>
    <xf numFmtId="0" fontId="16" fillId="27" borderId="22" xfId="0" applyFont="1" applyFill="1" applyBorder="1" applyAlignment="1" applyProtection="1">
      <alignment horizontal="left" vertical="center" wrapText="1"/>
      <protection locked="0"/>
    </xf>
    <xf numFmtId="10" fontId="11" fillId="2" borderId="12" xfId="1" applyNumberFormat="1" applyFont="1" applyFill="1" applyBorder="1" applyAlignment="1" applyProtection="1">
      <alignment vertical="center"/>
      <protection locked="0"/>
    </xf>
    <xf numFmtId="164" fontId="11" fillId="2" borderId="15" xfId="14" applyBorder="1" applyProtection="1">
      <alignment vertical="center"/>
      <protection locked="0"/>
    </xf>
    <xf numFmtId="0" fontId="16" fillId="27" borderId="22" xfId="0" applyFont="1" applyFill="1" applyBorder="1" applyAlignment="1" applyProtection="1">
      <alignment horizontal="center" vertical="center"/>
      <protection locked="0"/>
    </xf>
    <xf numFmtId="164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15" fillId="3" borderId="56" xfId="8" applyNumberFormat="1" applyBorder="1" applyAlignment="1" applyProtection="1">
      <alignment vertical="center"/>
      <protection locked="0"/>
    </xf>
    <xf numFmtId="0" fontId="16" fillId="0" borderId="12" xfId="0" applyFont="1" applyFill="1" applyBorder="1" applyAlignment="1" applyProtection="1">
      <alignment horizontal="center" vertical="center"/>
      <protection locked="0"/>
    </xf>
    <xf numFmtId="170" fontId="16" fillId="0" borderId="12" xfId="0" applyNumberFormat="1" applyFont="1" applyFill="1" applyBorder="1" applyAlignment="1" applyProtection="1">
      <alignment horizontal="center" vertical="center"/>
      <protection locked="0"/>
    </xf>
    <xf numFmtId="2" fontId="16" fillId="0" borderId="12" xfId="0" applyNumberFormat="1" applyFont="1" applyFill="1" applyBorder="1" applyAlignment="1" applyProtection="1">
      <alignment horizontal="center" vertical="center"/>
      <protection locked="0"/>
    </xf>
    <xf numFmtId="171" fontId="16" fillId="0" borderId="12" xfId="0" applyNumberFormat="1" applyFont="1" applyFill="1" applyBorder="1" applyAlignment="1" applyProtection="1">
      <alignment horizontal="center" vertical="center"/>
      <protection locked="0"/>
    </xf>
    <xf numFmtId="9" fontId="11" fillId="8" borderId="12" xfId="1" applyFont="1" applyFill="1" applyBorder="1" applyAlignment="1" applyProtection="1">
      <alignment vertical="center"/>
      <protection locked="0"/>
    </xf>
    <xf numFmtId="164" fontId="11" fillId="8" borderId="12" xfId="14" applyFill="1" applyBorder="1" applyProtection="1">
      <alignment vertical="center"/>
      <protection locked="0"/>
    </xf>
    <xf numFmtId="0" fontId="16" fillId="0" borderId="0" xfId="0" applyFont="1" applyProtection="1">
      <protection locked="0"/>
    </xf>
    <xf numFmtId="0" fontId="22" fillId="22" borderId="0" xfId="38"/>
    <xf numFmtId="0" fontId="38" fillId="23" borderId="0" xfId="39"/>
    <xf numFmtId="10" fontId="11" fillId="2" borderId="12" xfId="1" applyNumberFormat="1" applyFont="1" applyFill="1" applyBorder="1" applyAlignment="1" applyProtection="1">
      <alignment horizontal="center" vertical="center"/>
      <protection locked="0"/>
    </xf>
    <xf numFmtId="2" fontId="39" fillId="2" borderId="6" xfId="40" applyNumberFormat="1" applyAlignment="1" applyProtection="1">
      <alignment horizontal="center" vertical="center"/>
      <protection locked="0"/>
    </xf>
    <xf numFmtId="2" fontId="39" fillId="2" borderId="57" xfId="40" applyNumberFormat="1" applyBorder="1" applyAlignment="1" applyProtection="1">
      <alignment horizontal="center" vertical="center"/>
      <protection locked="0"/>
    </xf>
    <xf numFmtId="164" fontId="17" fillId="10" borderId="1" xfId="11" applyFill="1" applyBorder="1">
      <alignment vertical="center"/>
    </xf>
    <xf numFmtId="0" fontId="11" fillId="5" borderId="32" xfId="6" applyFont="1" applyBorder="1" applyProtection="1"/>
    <xf numFmtId="3" fontId="4" fillId="24" borderId="35" xfId="28" applyNumberFormat="1" applyBorder="1" applyProtection="1"/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</xf>
  </cellXfs>
  <cellStyles count="41">
    <cellStyle name="20 % - Akzent1" xfId="37" builtinId="30"/>
    <cellStyle name="20 % - Akzent5" xfId="28" builtinId="46"/>
    <cellStyle name="60 % - Akzent1" xfId="6" builtinId="32"/>
    <cellStyle name="60 % - Akzent3" xfId="9" builtinId="40"/>
    <cellStyle name="60 % - Akzent4" xfId="27" builtinId="44"/>
    <cellStyle name="60 % - Akzent5" xfId="29" builtinId="48"/>
    <cellStyle name="Ausgaben" xfId="16" xr:uid="{00000000-0005-0000-0000-000020000000}"/>
    <cellStyle name="Berechnung" xfId="8" builtinId="22"/>
    <cellStyle name="Berechnungen" xfId="15" xr:uid="{00000000-0005-0000-0000-000023000000}"/>
    <cellStyle name="BNetzA Head 1" xfId="11" xr:uid="{00000000-0005-0000-0000-000024000000}"/>
    <cellStyle name="BNetzA Head 2" xfId="13" xr:uid="{00000000-0005-0000-0000-000025000000}"/>
    <cellStyle name="BNetzA Rows 2" xfId="20" xr:uid="{00000000-0005-0000-0000-000026000000}"/>
    <cellStyle name="BNetzA Rows 3" xfId="21" xr:uid="{00000000-0005-0000-0000-000027000000}"/>
    <cellStyle name="Comma [0]" xfId="2" xr:uid="{00000000-0005-0000-0000-000028000000}"/>
    <cellStyle name="Currency [0]" xfId="3" xr:uid="{00000000-0005-0000-0000-000029000000}"/>
    <cellStyle name="Dezimal [0]" xfId="4" builtinId="6" hidden="1"/>
    <cellStyle name="Eingabe" xfId="40" builtinId="20"/>
    <cellStyle name="Eingabe Bearbeiter" xfId="14" xr:uid="{00000000-0005-0000-0000-00002C000000}"/>
    <cellStyle name="Eingabefeld1" xfId="33" xr:uid="{00000000-0005-0000-0000-00002D000000}"/>
    <cellStyle name="Eingabefeld2" xfId="32" xr:uid="{00000000-0005-0000-0000-00002E000000}"/>
    <cellStyle name="Gut" xfId="38" builtinId="26"/>
    <cellStyle name="Komma" xfId="7" builtinId="3"/>
    <cellStyle name="Komma 2" xfId="30" xr:uid="{00000000-0005-0000-0000-000031000000}"/>
    <cellStyle name="NB Head 1" xfId="10" xr:uid="{00000000-0005-0000-0000-000033000000}"/>
    <cellStyle name="NB Head 2" xfId="12" xr:uid="{00000000-0005-0000-0000-000034000000}"/>
    <cellStyle name="NB Rows 2" xfId="17" xr:uid="{00000000-0005-0000-0000-000035000000}"/>
    <cellStyle name="NB Rows 3" xfId="19" xr:uid="{00000000-0005-0000-0000-000036000000}"/>
    <cellStyle name="NB Rows 4" xfId="26" xr:uid="{00000000-0005-0000-0000-000037000000}"/>
    <cellStyle name="NB/BNetzA Rows 1" xfId="18" xr:uid="{00000000-0005-0000-0000-000038000000}"/>
    <cellStyle name="Neutral" xfId="39" builtinId="28"/>
    <cellStyle name="Prozent" xfId="1" builtinId="5"/>
    <cellStyle name="Special Head 1" xfId="22" xr:uid="{00000000-0005-0000-0000-00003D000000}"/>
    <cellStyle name="Special Head 2" xfId="23" xr:uid="{00000000-0005-0000-0000-00003E000000}"/>
    <cellStyle name="Special Rows 2" xfId="24" xr:uid="{00000000-0005-0000-0000-00003F000000}"/>
    <cellStyle name="Special Rows 3" xfId="25" xr:uid="{00000000-0005-0000-0000-000040000000}"/>
    <cellStyle name="Standard" xfId="0" builtinId="0"/>
    <cellStyle name="Tablehead1" xfId="34" xr:uid="{00000000-0005-0000-0000-000044000000}"/>
    <cellStyle name="Tablehead2" xfId="35" xr:uid="{00000000-0005-0000-0000-000045000000}"/>
    <cellStyle name="Tablehead3" xfId="36" xr:uid="{00000000-0005-0000-0000-000046000000}"/>
    <cellStyle name="Überschrift 5" xfId="31" xr:uid="{00000000-0005-0000-0000-000048000000}"/>
    <cellStyle name="Währung [0]" xfId="5" builtinId="7" hidden="1"/>
  </cellStyles>
  <dxfs count="0"/>
  <tableStyles count="0" defaultTableStyle="TableStyleMedium2" defaultPivotStyle="PivotStyleLight16"/>
  <colors>
    <mruColors>
      <color rgb="FFFFC7CD"/>
      <color rgb="FF7F7F7F"/>
      <color rgb="FF4BFF9C"/>
      <color rgb="FFFFCC00"/>
      <color rgb="FFF2F2F2"/>
      <color rgb="FFFA7D00"/>
      <color rgb="FF8FE99A"/>
      <color rgb="FFFFFF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../customXml/item2.xml" Type="http://schemas.openxmlformats.org/officeDocument/2006/relationships/customXml"/><Relationship Id="rId11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externalLinks/externalLink1.xml" Type="http://schemas.openxmlformats.org/officeDocument/2006/relationships/externalLink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Relationship Id="rId9" Target="../customXml/item1.xml" Type="http://schemas.openxmlformats.org/officeDocument/2006/relationships/customXml"/></Relationships>
</file>

<file path=xl/externalLinks/_rels/externalLink1.xml.rels><?xml version="1.0" encoding="UTF-8" standalone="no"?><Relationships xmlns="http://schemas.openxmlformats.org/package/2006/relationships"><Relationship Id="rId1" Target="file://///itbonn01f025/windat/Gas/EOG_2013/1_Alle%20Verfahren/4-RP%20(Alle%20Verfahren)/EHBs/KP/EHB_Kostenpr&#252;fung_4RegP_unprotected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_Stammdaten"/>
      <sheetName val="A1_Fragen"/>
      <sheetName val="A2_Schlüssel"/>
      <sheetName val="B_Bilanz"/>
      <sheetName val="B1_Details"/>
      <sheetName val="B2_Hinzu_Kürz"/>
      <sheetName val="B3_RSt_Spiegel"/>
      <sheetName val="B4_Darl_Spiegel"/>
      <sheetName val="C_GuV"/>
      <sheetName val="C1_Sonstiges"/>
      <sheetName val="C2_Hinzu_Kürz"/>
      <sheetName val="C3_SaLi"/>
      <sheetName val="C4_ÜLR_PZK"/>
      <sheetName val="C5_KAvol"/>
      <sheetName val="D_SAV"/>
      <sheetName val="D2_BKZ"/>
      <sheetName val="D3_WAV"/>
      <sheetName val="E_CF_Rechn"/>
      <sheetName val="F_Netzdaten"/>
      <sheetName val="Changelog"/>
      <sheetName val="List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S4" t="str">
            <v xml:space="preserve"> 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">
          <cell r="E2" t="str">
            <v>1.1.1 Erlöse aus Ausspeisepunkte ohne Leistungsmessung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FD04F-6EF4-47DA-B94D-83E5DD19B2FF}">
  <sheetPr codeName="Tabelle1">
    <tabColor theme="8" tint="0.59999389629810485"/>
    <pageSetUpPr fitToPage="1"/>
  </sheetPr>
  <dimension ref="A1:Y49"/>
  <sheetViews>
    <sheetView tabSelected="1" topLeftCell="A2" zoomScaleNormal="100" zoomScaleSheetLayoutView="85" workbookViewId="0">
      <selection activeCell="B7" sqref="B7"/>
    </sheetView>
  </sheetViews>
  <sheetFormatPr baseColWidth="10" defaultColWidth="11.42578125" defaultRowHeight="15" x14ac:dyDescent="0.25"/>
  <cols>
    <col min="1" max="1" customWidth="true" style="339" width="55.28515625"/>
    <col min="2" max="2" customWidth="true" style="339" width="19.7109375"/>
    <col min="3" max="3" customWidth="true" style="339" width="12.85546875"/>
    <col min="4" max="5" customWidth="true" style="339" width="19.7109375"/>
    <col min="6" max="6" customWidth="true" style="339" width="11.42578125"/>
    <col min="7" max="7" customWidth="true" style="339" width="20.85546875"/>
    <col min="8" max="8" customWidth="true" style="339" width="19.7109375"/>
    <col min="9" max="9" customWidth="true" hidden="true" style="339" width="19.7109375"/>
    <col min="10" max="10" customWidth="true" style="339" width="19.7109375"/>
    <col min="11" max="11" customWidth="true" style="339" width="19.85546875"/>
    <col min="12" max="12" customWidth="true" style="339" width="20.7109375"/>
    <col min="13" max="13" customWidth="true" style="339" width="19.7109375"/>
    <col min="14" max="14" customWidth="true" hidden="true" style="339" width="20.7109375"/>
    <col min="15" max="18" customWidth="true" style="339" width="20.7109375"/>
    <col min="19" max="16384" style="339" width="11.42578125"/>
  </cols>
  <sheetData>
    <row r="1" spans="1:25" hidden="1" x14ac:dyDescent="0.25"/>
    <row r="2" spans="1:25" x14ac:dyDescent="0.25">
      <c r="A2" s="446" t="s">
        <v>206</v>
      </c>
    </row>
    <row r="3" spans="1:25" x14ac:dyDescent="0.25">
      <c r="A3" s="446" t="s">
        <v>216</v>
      </c>
    </row>
    <row r="4" spans="1:25" ht="18.75" x14ac:dyDescent="0.25">
      <c r="A4" s="340" t="s">
        <v>147</v>
      </c>
    </row>
    <row r="5" spans="1:25" s="343" customFormat="1" ht="15.75" x14ac:dyDescent="0.25">
      <c r="A5" s="342" t="s">
        <v>148</v>
      </c>
      <c r="B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S5" s="339"/>
      <c r="T5" s="339"/>
    </row>
    <row r="6" spans="1:25" s="343" customFormat="1" ht="30" customHeight="1" thickBot="1" x14ac:dyDescent="0.3">
      <c r="A6" s="345" t="s">
        <v>149</v>
      </c>
      <c r="B6" s="346"/>
      <c r="D6" s="347" t="s">
        <v>150</v>
      </c>
      <c r="E6" s="348"/>
      <c r="F6" s="349"/>
      <c r="G6" s="349"/>
      <c r="H6" s="349"/>
      <c r="J6" s="350"/>
      <c r="K6" s="341"/>
      <c r="L6" s="350"/>
      <c r="M6" s="350"/>
      <c r="N6" s="341"/>
      <c r="O6" s="341"/>
      <c r="S6" s="339"/>
      <c r="T6" s="339"/>
    </row>
    <row r="7" spans="1:25" s="343" customFormat="1" ht="42" customHeight="1" x14ac:dyDescent="0.25">
      <c r="A7" s="351" t="s">
        <v>20</v>
      </c>
      <c r="B7" s="436" t="s">
        <v>21</v>
      </c>
      <c r="D7" s="352" t="s">
        <v>151</v>
      </c>
      <c r="E7" s="352" t="s">
        <v>152</v>
      </c>
      <c r="F7" s="352" t="s">
        <v>153</v>
      </c>
      <c r="G7" s="352" t="s">
        <v>154</v>
      </c>
      <c r="H7" s="352" t="s">
        <v>155</v>
      </c>
      <c r="K7" s="353"/>
      <c r="L7" s="341"/>
      <c r="M7" s="354"/>
      <c r="N7" s="341"/>
      <c r="O7" s="341"/>
      <c r="S7" s="339"/>
      <c r="T7" s="339"/>
    </row>
    <row r="8" spans="1:25" s="343" customFormat="1" ht="30" customHeight="1" x14ac:dyDescent="0.25">
      <c r="A8" s="355" t="s">
        <v>156</v>
      </c>
      <c r="B8" s="433">
        <v>70000000</v>
      </c>
      <c r="D8" s="357">
        <f>B9+3</f>
        <v>2023</v>
      </c>
      <c r="E8" s="358">
        <v>0.2</v>
      </c>
      <c r="F8" s="358"/>
      <c r="G8" s="359">
        <v>103.1</v>
      </c>
      <c r="H8" s="449"/>
      <c r="J8" s="341"/>
      <c r="S8" s="339"/>
      <c r="T8" s="339"/>
    </row>
    <row r="9" spans="1:25" s="343" customFormat="1" ht="30" customHeight="1" x14ac:dyDescent="0.25">
      <c r="A9" s="355" t="s">
        <v>157</v>
      </c>
      <c r="B9" s="361">
        <v>2020</v>
      </c>
      <c r="D9" s="357">
        <f>D8+1</f>
        <v>2024</v>
      </c>
      <c r="E9" s="358">
        <v>0.4</v>
      </c>
      <c r="F9" s="358"/>
      <c r="G9" s="359">
        <v>110.2</v>
      </c>
      <c r="H9" s="360">
        <f>(1+H8)^2-1</f>
        <v>0</v>
      </c>
      <c r="K9" s="341"/>
      <c r="L9" s="341"/>
      <c r="M9" s="341"/>
      <c r="N9" s="341"/>
      <c r="O9" s="341"/>
      <c r="S9" s="339"/>
      <c r="T9" s="339"/>
    </row>
    <row r="10" spans="1:25" s="343" customFormat="1" ht="30" customHeight="1" x14ac:dyDescent="0.25">
      <c r="A10" s="362" t="s">
        <v>158</v>
      </c>
      <c r="B10" s="435">
        <v>0.95</v>
      </c>
      <c r="D10" s="440">
        <f>D9+1</f>
        <v>2025</v>
      </c>
      <c r="E10" s="441">
        <v>0.6</v>
      </c>
      <c r="F10" s="441"/>
      <c r="G10" s="442">
        <v>116.7</v>
      </c>
      <c r="H10" s="443">
        <f>(1+H8)^3-1</f>
        <v>0</v>
      </c>
      <c r="M10" s="364"/>
      <c r="N10" s="341"/>
      <c r="O10" s="341"/>
      <c r="P10" s="341"/>
      <c r="Q10" s="341"/>
      <c r="R10" s="341"/>
      <c r="S10" s="365"/>
      <c r="T10" s="365"/>
    </row>
    <row r="11" spans="1:25" s="343" customFormat="1" ht="30" customHeight="1" x14ac:dyDescent="0.25">
      <c r="A11" s="362" t="s">
        <v>159</v>
      </c>
      <c r="B11" s="444"/>
      <c r="D11" s="357">
        <f>D10+1</f>
        <v>2026</v>
      </c>
      <c r="E11" s="358">
        <v>0.8</v>
      </c>
      <c r="F11" s="358"/>
      <c r="G11" s="450"/>
      <c r="H11" s="360">
        <f>(1+H8)^4-1</f>
        <v>0</v>
      </c>
      <c r="M11" s="364"/>
      <c r="N11" s="366"/>
      <c r="O11" s="341"/>
      <c r="P11" s="341"/>
      <c r="Q11" s="341"/>
      <c r="S11" s="339"/>
      <c r="T11" s="339"/>
    </row>
    <row r="12" spans="1:25" s="343" customFormat="1" ht="30" customHeight="1" thickBot="1" x14ac:dyDescent="0.3">
      <c r="A12" s="367" t="s">
        <v>195</v>
      </c>
      <c r="B12" s="368">
        <v>100</v>
      </c>
      <c r="D12" s="372">
        <f>D11+1</f>
        <v>2027</v>
      </c>
      <c r="E12" s="369">
        <v>1</v>
      </c>
      <c r="F12" s="369"/>
      <c r="G12" s="451"/>
      <c r="H12" s="370">
        <f>(1+H8)^5-1</f>
        <v>0</v>
      </c>
      <c r="J12" s="363"/>
      <c r="L12" s="341"/>
      <c r="M12" s="341"/>
      <c r="N12" s="341"/>
      <c r="O12" s="341"/>
      <c r="P12" s="341"/>
      <c r="Q12" s="341"/>
      <c r="S12" s="339"/>
      <c r="T12" s="339"/>
    </row>
    <row r="13" spans="1:25" x14ac:dyDescent="0.25">
      <c r="K13" s="341"/>
      <c r="L13" s="341"/>
      <c r="M13" s="341"/>
      <c r="N13" s="341"/>
      <c r="O13" s="341"/>
      <c r="S13" s="343"/>
      <c r="T13" s="343"/>
      <c r="U13" s="343"/>
      <c r="V13" s="343"/>
      <c r="W13" s="343"/>
      <c r="X13" s="343"/>
      <c r="Y13" s="343"/>
    </row>
    <row r="14" spans="1:25" s="343" customFormat="1" ht="35.1" customHeight="1" thickBot="1" x14ac:dyDescent="0.3">
      <c r="A14" s="376" t="s">
        <v>161</v>
      </c>
      <c r="B14" s="377"/>
      <c r="C14" s="378"/>
      <c r="D14" s="338" t="s">
        <v>162</v>
      </c>
      <c r="E14" s="338" t="s">
        <v>199</v>
      </c>
      <c r="F14" s="377"/>
      <c r="G14" s="434" t="s">
        <v>200</v>
      </c>
      <c r="H14" s="51"/>
      <c r="I14" s="377" t="s">
        <v>140</v>
      </c>
      <c r="J14" s="437"/>
      <c r="K14" s="338" t="s">
        <v>204</v>
      </c>
      <c r="L14" s="338" t="s">
        <v>205</v>
      </c>
      <c r="N14" s="377" t="s">
        <v>140</v>
      </c>
    </row>
    <row r="15" spans="1:25" ht="24.75" customHeight="1" x14ac:dyDescent="0.25">
      <c r="A15" s="379" t="s">
        <v>163</v>
      </c>
      <c r="B15" s="379" t="s">
        <v>164</v>
      </c>
      <c r="C15" s="380"/>
      <c r="D15" s="381">
        <f>B8</f>
        <v>70000000</v>
      </c>
      <c r="E15" s="382"/>
      <c r="F15" s="382"/>
      <c r="G15" s="382"/>
      <c r="H15" s="51"/>
      <c r="I15" s="382"/>
      <c r="J15" s="371" t="s">
        <v>160</v>
      </c>
      <c r="K15" s="438">
        <f>SUM(K16:K34)</f>
        <v>7492909.8298034202</v>
      </c>
      <c r="L15" s="438">
        <f>SUM(L16:L34)</f>
        <v>5390824.1277797958</v>
      </c>
      <c r="N15" s="438">
        <f>SUM(N16:N23)</f>
        <v>5390824.1277797958</v>
      </c>
      <c r="O15" s="364"/>
    </row>
    <row r="16" spans="1:25" ht="24.75" customHeight="1" x14ac:dyDescent="0.25">
      <c r="A16" s="383" t="s">
        <v>165</v>
      </c>
      <c r="B16" s="383" t="s">
        <v>166</v>
      </c>
      <c r="C16" s="384"/>
      <c r="D16" s="433">
        <v>20000000</v>
      </c>
      <c r="E16" s="386">
        <f>D16</f>
        <v>20000000</v>
      </c>
      <c r="F16" s="386"/>
      <c r="G16" s="386">
        <f>D16</f>
        <v>20000000</v>
      </c>
      <c r="H16" s="51"/>
      <c r="I16" s="386">
        <f>D16</f>
        <v>20000000</v>
      </c>
      <c r="J16" s="433" t="s">
        <v>196</v>
      </c>
      <c r="K16" s="439">
        <f>A2_KKAb!R82</f>
        <v>2492909.8298034202</v>
      </c>
      <c r="L16" s="439">
        <f>A2_KKAb!T82</f>
        <v>1390824.1277797958</v>
      </c>
      <c r="N16" s="439">
        <f>A2_KKAb!V82</f>
        <v>1390824.1277797958</v>
      </c>
      <c r="O16" s="364"/>
    </row>
    <row r="17" spans="1:15" ht="24.75" customHeight="1" x14ac:dyDescent="0.25">
      <c r="A17" s="387" t="s">
        <v>167</v>
      </c>
      <c r="B17" s="383" t="s">
        <v>168</v>
      </c>
      <c r="C17" s="384"/>
      <c r="D17" s="385"/>
      <c r="E17" s="445">
        <f>K15</f>
        <v>7492909.8298034202</v>
      </c>
      <c r="F17" s="386"/>
      <c r="G17" s="445">
        <f>L15</f>
        <v>5390824.1277797958</v>
      </c>
      <c r="H17" s="51"/>
      <c r="I17" s="433">
        <f>N15</f>
        <v>5390824.1277797958</v>
      </c>
      <c r="J17" s="433" t="s">
        <v>201</v>
      </c>
      <c r="K17" s="433">
        <v>3000000</v>
      </c>
      <c r="L17" s="433">
        <v>2500000</v>
      </c>
      <c r="N17" s="433">
        <v>4000000</v>
      </c>
      <c r="O17" s="364"/>
    </row>
    <row r="18" spans="1:15" ht="24.75" customHeight="1" x14ac:dyDescent="0.25">
      <c r="A18" s="387" t="s">
        <v>169</v>
      </c>
      <c r="B18" s="375" t="s">
        <v>170</v>
      </c>
      <c r="C18" s="384"/>
      <c r="D18" s="388">
        <f>($D$15-$D$16)*$B$10</f>
        <v>47500000</v>
      </c>
      <c r="E18" s="388">
        <f>($D$15-$D$16-E17)*$B$10</f>
        <v>40381735.661686748</v>
      </c>
      <c r="F18" s="388"/>
      <c r="G18" s="388">
        <f>($D$15-$D$16-G17)*$B$10</f>
        <v>42378717.078609191</v>
      </c>
      <c r="H18" s="51"/>
      <c r="I18" s="388">
        <f>($D$15-$D$16-I17)*$B$10</f>
        <v>42378717.078609191</v>
      </c>
      <c r="J18" s="433" t="s">
        <v>202</v>
      </c>
      <c r="K18" s="433">
        <v>2000000</v>
      </c>
      <c r="L18" s="433">
        <v>1500000</v>
      </c>
      <c r="N18" s="433"/>
      <c r="O18" s="364"/>
    </row>
    <row r="19" spans="1:15" ht="24.75" customHeight="1" x14ac:dyDescent="0.25">
      <c r="A19" s="383" t="s">
        <v>171</v>
      </c>
      <c r="B19" s="375" t="s">
        <v>172</v>
      </c>
      <c r="C19" s="384"/>
      <c r="D19" s="389"/>
      <c r="E19" s="389">
        <f>$D$15-$D$16-E17-E18</f>
        <v>2125354.5085098296</v>
      </c>
      <c r="F19" s="389"/>
      <c r="G19" s="389">
        <f>$D$15-$D$16-G17-G18</f>
        <v>2230458.7936110124</v>
      </c>
      <c r="H19" s="51"/>
      <c r="I19" s="389">
        <f>$D$15-$D$16-I17-I18</f>
        <v>2230458.7936110124</v>
      </c>
      <c r="J19" s="433"/>
      <c r="K19" s="433"/>
      <c r="L19" s="433"/>
      <c r="N19" s="433"/>
      <c r="O19" s="364"/>
    </row>
    <row r="20" spans="1:15" ht="24.75" customHeight="1" x14ac:dyDescent="0.25">
      <c r="A20" s="390" t="s">
        <v>173</v>
      </c>
      <c r="B20" s="391" t="s">
        <v>174</v>
      </c>
      <c r="C20" s="384"/>
      <c r="D20" s="392"/>
      <c r="E20" s="393">
        <f>E19*(1-VLOOKUP(Parameter!$E$2,A1_EOG_TFE!$D$8:$H$12,2,FALSE))</f>
        <v>425070.90170196583</v>
      </c>
      <c r="F20" s="393"/>
      <c r="G20" s="393">
        <f>G19*(1-VLOOKUP(Parameter!$E$2,A1_EOG_TFE!$D$8:$H$12,2,FALSE))</f>
        <v>446091.75872220239</v>
      </c>
      <c r="H20" s="51"/>
      <c r="I20" s="393">
        <f>I19*(1-VLOOKUP(Parameter!$E$2,A1_EOG_TFE!$D$8:$H$12,2,FALSE))</f>
        <v>446091.75872220239</v>
      </c>
      <c r="J20" s="433"/>
      <c r="K20" s="433"/>
      <c r="L20" s="433"/>
      <c r="N20" s="433"/>
      <c r="O20" s="364"/>
    </row>
    <row r="21" spans="1:15" ht="24.75" customHeight="1" x14ac:dyDescent="0.25">
      <c r="A21" s="394" t="s">
        <v>175</v>
      </c>
      <c r="B21" s="391" t="s">
        <v>176</v>
      </c>
      <c r="C21" s="384"/>
      <c r="D21" s="388">
        <f>D18*$B$11</f>
        <v>0</v>
      </c>
      <c r="E21" s="389"/>
      <c r="F21" s="389"/>
      <c r="G21" s="389"/>
      <c r="H21" s="51"/>
      <c r="I21" s="389"/>
      <c r="J21" s="433"/>
      <c r="K21" s="433"/>
      <c r="L21" s="433"/>
      <c r="N21" s="433"/>
      <c r="O21" s="364"/>
    </row>
    <row r="22" spans="1:15" ht="24.75" customHeight="1" thickBot="1" x14ac:dyDescent="0.3">
      <c r="A22" s="395" t="s">
        <v>177</v>
      </c>
      <c r="B22" s="396" t="s">
        <v>178</v>
      </c>
      <c r="C22" s="397"/>
      <c r="D22" s="398"/>
      <c r="E22" s="399">
        <f>$D$21/Parameter!$B$11</f>
        <v>0</v>
      </c>
      <c r="F22" s="399"/>
      <c r="G22" s="399">
        <f>$D$21/Parameter!$B$11</f>
        <v>0</v>
      </c>
      <c r="H22" s="51"/>
      <c r="I22" s="399">
        <f>$D$21/Parameter!$B$11</f>
        <v>0</v>
      </c>
      <c r="J22" s="433"/>
      <c r="K22" s="433"/>
      <c r="L22" s="433"/>
      <c r="N22" s="433"/>
      <c r="O22" s="364"/>
    </row>
    <row r="23" spans="1:15" s="406" customFormat="1" ht="30.75" customHeight="1" thickBot="1" x14ac:dyDescent="0.3">
      <c r="A23" s="400" t="s">
        <v>179</v>
      </c>
      <c r="B23" s="401" t="s">
        <v>180</v>
      </c>
      <c r="C23" s="402"/>
      <c r="D23" s="403"/>
      <c r="E23" s="404">
        <f>E18+E20+E22</f>
        <v>40806806.563388713</v>
      </c>
      <c r="F23" s="405"/>
      <c r="G23" s="405">
        <f>G18+G20+G22</f>
        <v>42824808.837331392</v>
      </c>
      <c r="H23" s="51"/>
      <c r="I23" s="405">
        <f>I18+I20+I22</f>
        <v>42824808.837331392</v>
      </c>
      <c r="J23" s="433"/>
      <c r="K23" s="433"/>
      <c r="L23" s="433"/>
      <c r="N23" s="433"/>
      <c r="O23" s="373"/>
    </row>
    <row r="24" spans="1:15" s="406" customFormat="1" ht="15" customHeight="1" thickTop="1" x14ac:dyDescent="0.25">
      <c r="A24" s="353"/>
      <c r="B24" s="356"/>
      <c r="D24" s="407"/>
      <c r="E24" s="408"/>
      <c r="F24" s="408"/>
      <c r="G24" s="408"/>
      <c r="H24" s="51"/>
      <c r="I24" s="408"/>
      <c r="J24" s="433"/>
      <c r="K24" s="433"/>
      <c r="L24" s="433"/>
      <c r="M24" s="364"/>
      <c r="N24" s="364"/>
      <c r="O24" s="373"/>
    </row>
    <row r="25" spans="1:15" ht="18.75" thickBot="1" x14ac:dyDescent="0.3">
      <c r="A25" s="374" t="s">
        <v>181</v>
      </c>
      <c r="B25" s="378"/>
      <c r="C25" s="378"/>
      <c r="D25" s="409" t="s">
        <v>182</v>
      </c>
      <c r="E25" s="409"/>
      <c r="F25" s="409"/>
      <c r="G25" s="409"/>
      <c r="H25" s="51"/>
      <c r="I25" s="409"/>
      <c r="J25" s="433"/>
      <c r="K25" s="433"/>
      <c r="L25" s="433"/>
      <c r="M25" s="341"/>
      <c r="N25" s="341"/>
      <c r="O25" s="364"/>
    </row>
    <row r="26" spans="1:15" ht="32.25" customHeight="1" x14ac:dyDescent="0.25">
      <c r="A26" s="410" t="s">
        <v>183</v>
      </c>
      <c r="B26" s="411" t="s">
        <v>184</v>
      </c>
      <c r="C26" s="412"/>
      <c r="D26" s="413">
        <f>B12</f>
        <v>100</v>
      </c>
      <c r="E26" s="413">
        <f>VLOOKUP(Parameter!$E$2,A1_EOG_TFE!$D$8:$H$12,4,FALSE)</f>
        <v>0</v>
      </c>
      <c r="F26" s="413"/>
      <c r="G26" s="413">
        <f>VLOOKUP(Parameter!$E$2,A1_EOG_TFE!$D$8:$H$12,4,FALSE)</f>
        <v>0</v>
      </c>
      <c r="H26" s="51"/>
      <c r="I26" s="413">
        <f>VLOOKUP(Parameter!$E$2,A1_EOG_TFE!$D$8:$H$12,4,FALSE)</f>
        <v>0</v>
      </c>
      <c r="J26" s="433"/>
      <c r="K26" s="433"/>
      <c r="L26" s="433"/>
      <c r="M26" s="414"/>
      <c r="N26" s="414"/>
      <c r="O26" s="364"/>
    </row>
    <row r="27" spans="1:15" ht="32.25" customHeight="1" x14ac:dyDescent="0.25">
      <c r="A27" s="383" t="s">
        <v>185</v>
      </c>
      <c r="B27" s="375" t="s">
        <v>186</v>
      </c>
      <c r="C27" s="415"/>
      <c r="D27" s="416"/>
      <c r="E27" s="417">
        <f>E26/$D26</f>
        <v>0</v>
      </c>
      <c r="F27" s="417"/>
      <c r="G27" s="417">
        <f>G26/$D26</f>
        <v>0</v>
      </c>
      <c r="H27" s="51"/>
      <c r="I27" s="417">
        <f>I26/$D26</f>
        <v>0</v>
      </c>
      <c r="J27" s="433"/>
      <c r="K27" s="433"/>
      <c r="L27" s="433"/>
      <c r="M27" s="341"/>
      <c r="N27" s="341"/>
      <c r="O27" s="364"/>
    </row>
    <row r="28" spans="1:15" ht="32.25" customHeight="1" x14ac:dyDescent="0.25">
      <c r="A28" s="383" t="s">
        <v>187</v>
      </c>
      <c r="B28" s="375" t="s">
        <v>188</v>
      </c>
      <c r="C28" s="418"/>
      <c r="D28" s="417">
        <f>$H$8</f>
        <v>0</v>
      </c>
      <c r="E28" s="417">
        <f>VLOOKUP(Parameter!$E$2,A1_EOG_TFE!$D$8:$H$12,5,FALSE)</f>
        <v>0</v>
      </c>
      <c r="F28" s="417"/>
      <c r="G28" s="417">
        <f>VLOOKUP(Parameter!$E$2,A1_EOG_TFE!$D$8:$H$12,5,FALSE)</f>
        <v>0</v>
      </c>
      <c r="H28" s="51"/>
      <c r="I28" s="417">
        <f>VLOOKUP(Parameter!$E$2,A1_EOG_TFE!$D$8:$H$12,5,FALSE)</f>
        <v>0</v>
      </c>
      <c r="J28" s="433"/>
      <c r="K28" s="433"/>
      <c r="L28" s="433"/>
      <c r="M28" s="373"/>
      <c r="N28" s="373"/>
      <c r="O28" s="364"/>
    </row>
    <row r="29" spans="1:15" ht="18.75" thickBot="1" x14ac:dyDescent="0.3">
      <c r="A29" s="419" t="s">
        <v>189</v>
      </c>
      <c r="B29" s="420" t="s">
        <v>190</v>
      </c>
      <c r="C29" s="421"/>
      <c r="D29" s="422"/>
      <c r="E29" s="423">
        <f>E27-E28</f>
        <v>0</v>
      </c>
      <c r="F29" s="423"/>
      <c r="G29" s="423">
        <f>G27-G28</f>
        <v>0</v>
      </c>
      <c r="H29" s="51"/>
      <c r="I29" s="423">
        <f>I27-I28</f>
        <v>0</v>
      </c>
      <c r="J29" s="433"/>
      <c r="K29" s="433"/>
      <c r="L29" s="433"/>
      <c r="M29" s="364"/>
      <c r="N29" s="364"/>
      <c r="O29" s="364"/>
    </row>
    <row r="30" spans="1:15" ht="19.5" thickBot="1" x14ac:dyDescent="0.3">
      <c r="A30" s="400" t="s">
        <v>191</v>
      </c>
      <c r="B30" s="401" t="s">
        <v>192</v>
      </c>
      <c r="C30" s="424"/>
      <c r="D30" s="425"/>
      <c r="E30" s="405">
        <f>E23*E29</f>
        <v>0</v>
      </c>
      <c r="F30" s="405"/>
      <c r="G30" s="405">
        <f>G23*G29</f>
        <v>0</v>
      </c>
      <c r="H30" s="51"/>
      <c r="I30" s="405">
        <f>I23*I29</f>
        <v>0</v>
      </c>
      <c r="J30" s="433"/>
      <c r="K30" s="433"/>
      <c r="L30" s="433"/>
      <c r="M30" s="364"/>
      <c r="N30" s="364"/>
      <c r="O30" s="364"/>
    </row>
    <row r="31" spans="1:15" s="406" customFormat="1" ht="15" customHeight="1" thickTop="1" thickBot="1" x14ac:dyDescent="0.3">
      <c r="A31" s="353"/>
      <c r="B31" s="344"/>
      <c r="C31" s="426"/>
      <c r="E31" s="427"/>
      <c r="F31" s="427"/>
      <c r="G31" s="427"/>
      <c r="H31" s="51"/>
      <c r="I31" s="427"/>
      <c r="J31" s="433"/>
      <c r="K31" s="433"/>
      <c r="L31" s="433"/>
      <c r="M31" s="364"/>
      <c r="N31" s="364"/>
      <c r="O31" s="373"/>
    </row>
    <row r="32" spans="1:15" s="343" customFormat="1" ht="19.5" thickBot="1" x14ac:dyDescent="0.3">
      <c r="A32" s="432" t="s">
        <v>193</v>
      </c>
      <c r="B32" s="428" t="s">
        <v>203</v>
      </c>
      <c r="C32" s="429"/>
      <c r="D32" s="430"/>
      <c r="E32" s="431">
        <f>E16+E30</f>
        <v>20000000</v>
      </c>
      <c r="F32" s="431"/>
      <c r="G32" s="431">
        <f t="shared" ref="G32:I32" si="0">G16+G30</f>
        <v>20000000</v>
      </c>
      <c r="H32" s="51"/>
      <c r="I32" s="431">
        <f t="shared" si="0"/>
        <v>20000000</v>
      </c>
      <c r="J32" s="433"/>
      <c r="K32" s="433"/>
      <c r="L32" s="433"/>
      <c r="M32" s="364"/>
      <c r="N32" s="364"/>
      <c r="O32" s="341"/>
    </row>
    <row r="33" spans="1:21" s="406" customFormat="1" ht="16.5" thickTop="1" thickBot="1" x14ac:dyDescent="0.3">
      <c r="J33" s="433"/>
      <c r="K33" s="433"/>
      <c r="L33" s="433"/>
      <c r="M33" s="373"/>
      <c r="N33" s="373"/>
      <c r="O33" s="373"/>
      <c r="P33" s="373"/>
      <c r="Q33" s="373"/>
    </row>
    <row r="34" spans="1:21" ht="19.5" thickBot="1" x14ac:dyDescent="0.3">
      <c r="A34" s="432" t="s">
        <v>197</v>
      </c>
      <c r="B34" s="428" t="s">
        <v>198</v>
      </c>
      <c r="C34" s="429"/>
      <c r="D34" s="430"/>
      <c r="E34" s="431"/>
      <c r="F34" s="431"/>
      <c r="G34" s="431">
        <f>G32-E32</f>
        <v>0</v>
      </c>
      <c r="J34" s="433"/>
      <c r="K34" s="433"/>
      <c r="L34" s="433"/>
      <c r="M34" s="364"/>
      <c r="N34" s="364"/>
      <c r="O34" s="364"/>
      <c r="P34" s="364"/>
      <c r="Q34" s="364"/>
    </row>
    <row r="35" spans="1:21" ht="15.75" thickTop="1" x14ac:dyDescent="0.25">
      <c r="N35" s="364"/>
      <c r="O35" s="364"/>
      <c r="P35" s="364"/>
      <c r="Q35" s="364"/>
      <c r="R35" s="364"/>
    </row>
    <row r="36" spans="1:21" x14ac:dyDescent="0.25">
      <c r="O36" s="364"/>
      <c r="P36" s="364"/>
      <c r="Q36" s="364"/>
      <c r="R36" s="364"/>
      <c r="S36" s="364"/>
    </row>
    <row r="37" spans="1:21" x14ac:dyDescent="0.25">
      <c r="O37" s="364"/>
      <c r="P37" s="364"/>
      <c r="Q37" s="364"/>
      <c r="R37" s="364"/>
      <c r="S37" s="364"/>
    </row>
    <row r="38" spans="1:21" x14ac:dyDescent="0.25">
      <c r="O38" s="364"/>
      <c r="P38" s="364"/>
      <c r="Q38" s="364"/>
      <c r="R38" s="364"/>
      <c r="S38" s="364"/>
    </row>
    <row r="39" spans="1:21" x14ac:dyDescent="0.25">
      <c r="O39" s="364"/>
      <c r="P39" s="364"/>
      <c r="Q39" s="364"/>
      <c r="R39" s="364"/>
      <c r="S39" s="364"/>
    </row>
    <row r="40" spans="1:21" x14ac:dyDescent="0.25">
      <c r="G40" s="343"/>
      <c r="P40" s="364"/>
      <c r="Q40" s="364"/>
      <c r="R40" s="364"/>
      <c r="S40" s="364"/>
      <c r="T40" s="364"/>
    </row>
    <row r="41" spans="1:21" x14ac:dyDescent="0.25">
      <c r="P41" s="364"/>
      <c r="Q41" s="364"/>
      <c r="R41" s="364"/>
      <c r="S41" s="364"/>
      <c r="T41" s="364"/>
    </row>
    <row r="42" spans="1:21" x14ac:dyDescent="0.25">
      <c r="P42" s="364"/>
      <c r="Q42" s="364"/>
      <c r="R42" s="364"/>
      <c r="S42" s="364"/>
      <c r="T42" s="364"/>
    </row>
    <row r="43" spans="1:21" x14ac:dyDescent="0.25">
      <c r="Q43" s="364"/>
      <c r="R43" s="364"/>
      <c r="S43" s="364"/>
      <c r="T43" s="364"/>
      <c r="U43" s="364"/>
    </row>
    <row r="44" spans="1:21" x14ac:dyDescent="0.25">
      <c r="Q44" s="364"/>
      <c r="R44" s="364"/>
      <c r="S44" s="364"/>
      <c r="T44" s="364"/>
      <c r="U44" s="364"/>
    </row>
    <row r="45" spans="1:21" x14ac:dyDescent="0.25">
      <c r="Q45" s="364"/>
      <c r="R45" s="364"/>
      <c r="S45" s="364"/>
      <c r="T45" s="364"/>
      <c r="U45" s="364"/>
    </row>
    <row r="46" spans="1:21" x14ac:dyDescent="0.25">
      <c r="Q46" s="364"/>
      <c r="R46" s="364"/>
      <c r="S46" s="364"/>
      <c r="T46" s="364"/>
      <c r="U46" s="364"/>
    </row>
    <row r="47" spans="1:21" x14ac:dyDescent="0.25">
      <c r="Q47" s="364"/>
      <c r="R47" s="364"/>
      <c r="S47" s="364"/>
      <c r="T47" s="364"/>
      <c r="U47" s="364"/>
    </row>
    <row r="48" spans="1:21" x14ac:dyDescent="0.25">
      <c r="Q48" s="364"/>
      <c r="R48" s="364"/>
      <c r="S48" s="364"/>
      <c r="T48" s="364"/>
      <c r="U48" s="364"/>
    </row>
    <row r="49" spans="17:21" x14ac:dyDescent="0.25">
      <c r="Q49" s="364"/>
      <c r="R49" s="364"/>
      <c r="S49" s="364"/>
      <c r="T49" s="364"/>
      <c r="U49" s="364"/>
    </row>
  </sheetData>
  <dataValidations count="4">
    <dataValidation type="list" allowBlank="1" showInputMessage="1" showErrorMessage="1" sqref="B7" xr:uid="{AFA59A52-9EC4-49DE-9C33-6C7770E57F1B}">
      <formula1>"Regelverfahren,Vereinfachtes Verfahren"</formula1>
    </dataValidation>
    <dataValidation allowBlank="1" showInputMessage="1" showErrorMessage="1" promptTitle="Schätzung des PF" prompt="Siehe Hinweise zur Anpassung der Erlösobergrenze und Schätzung des PF." sqref="H8" xr:uid="{28CBB239-E849-457C-A0FD-E42844A8F197}"/>
    <dataValidation allowBlank="1" showInputMessage="1" showErrorMessage="1" promptTitle="KA dnb" prompt="Für die Berechnung des TFE sind keine fortgeführten Angaben der dauerhaft nicht beeinflussbaren Kosten erforderlich." sqref="G16 E16" xr:uid="{B4CBCF19-BB0C-4552-9F96-3A85387DDA90}"/>
    <dataValidation allowBlank="1" showInputMessage="1" showErrorMessage="1" promptTitle="VPI" prompt="Der VPI des Jahres 2025 ist voreingetragen. Der VPI der Jahre 2026 und 2027 kann eingetragen werden, um das TFE dieser Jahre zu berechnen." sqref="G10 G11 G12" xr:uid="{6F45E662-E9E8-4B57-95E9-6FACE92A4380}"/>
  </dataValidations>
  <printOptions horizontalCentered="1"/>
  <pageMargins left="0" right="0" top="0.59055118110236227" bottom="0.39370078740157483" header="0.31496062992125984" footer="0.31496062992125984"/>
  <pageSetup paperSize="9" scale="58" fitToHeight="4" orientation="landscape" horizontalDpi="1200" verticalDpi="1200" r:id="rId1"/>
  <headerFooter alignWithMargins="0">
    <oddFooter>Seite &amp;P von &amp;N</oddFooter>
  </headerFooter>
  <colBreaks count="1" manualBreakCount="1">
    <brk id="3" min="13" max="5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9">
    <tabColor theme="8" tint="0.59999389629810485"/>
  </sheetPr>
  <dimension ref="A2:V86"/>
  <sheetViews>
    <sheetView zoomScale="85" zoomScaleNormal="85" zoomScaleSheetLayoutView="75" workbookViewId="0">
      <selection activeCell="H10" sqref="H10"/>
    </sheetView>
  </sheetViews>
  <sheetFormatPr baseColWidth="10" defaultColWidth="11.42578125" defaultRowHeight="15" x14ac:dyDescent="0.25"/>
  <cols>
    <col min="1" max="1" customWidth="true" style="17" width="3.28515625"/>
    <col min="2" max="2" bestFit="true" customWidth="true" style="37" width="7.5703125"/>
    <col min="3" max="3" customWidth="true" style="38" width="64.5703125"/>
    <col min="4" max="4" bestFit="true" customWidth="true" style="39" width="13.42578125"/>
    <col min="5" max="6" customWidth="true" style="40" width="15.7109375"/>
    <col min="7" max="7" customWidth="true" style="17" width="15.7109375"/>
    <col min="8" max="8" customWidth="true" style="40" width="27.7109375"/>
    <col min="9" max="9" customWidth="true" style="40" width="12.85546875"/>
    <col min="10" max="10" customWidth="true" style="17" width="35.28515625"/>
    <col min="11" max="11" customWidth="true" style="17" width="5.85546875"/>
    <col min="12" max="12" customWidth="true" style="17" width="15.7109375"/>
    <col min="13" max="13" bestFit="true" customWidth="true" style="17" width="16.5703125"/>
    <col min="14" max="14" customWidth="true" style="17" width="15.7109375"/>
    <col min="15" max="15" bestFit="true" customWidth="true" style="17" width="16.5703125"/>
    <col min="16" max="17" customWidth="true" hidden="true" style="17" width="15.7109375"/>
    <col min="18" max="18" customWidth="true" style="17" width="17.5703125"/>
    <col min="19" max="19" customWidth="true" style="17" width="5.5703125"/>
    <col min="20" max="20" customWidth="true" style="17" width="19.7109375"/>
    <col min="21" max="21" customWidth="true" style="17" width="4.85546875"/>
    <col min="22" max="22" customWidth="true" hidden="true" style="17" width="21.42578125"/>
    <col min="23" max="16384" style="17" width="11.42578125"/>
  </cols>
  <sheetData>
    <row r="2" spans="1:22" x14ac:dyDescent="0.25">
      <c r="G2" s="40"/>
    </row>
    <row r="3" spans="1:22" ht="16.5" thickBot="1" x14ac:dyDescent="0.3">
      <c r="C3" s="2" t="s">
        <v>143</v>
      </c>
      <c r="D3" s="40"/>
    </row>
    <row r="4" spans="1:22" ht="47.25" customHeight="1" x14ac:dyDescent="0.25">
      <c r="C4" s="3" t="s">
        <v>215</v>
      </c>
      <c r="D4" s="40"/>
      <c r="J4" s="1" t="s">
        <v>139</v>
      </c>
      <c r="L4" s="455" t="s">
        <v>210</v>
      </c>
      <c r="M4" s="456"/>
      <c r="N4" s="455" t="s">
        <v>211</v>
      </c>
      <c r="O4" s="456"/>
      <c r="P4" s="455" t="s">
        <v>140</v>
      </c>
      <c r="Q4" s="456"/>
      <c r="R4" s="322" t="s">
        <v>210</v>
      </c>
      <c r="S4" s="323"/>
      <c r="T4" s="322" t="s">
        <v>211</v>
      </c>
      <c r="U4" s="324"/>
      <c r="V4" s="325" t="s">
        <v>140</v>
      </c>
    </row>
    <row r="5" spans="1:22" ht="19.5" customHeight="1" thickBot="1" x14ac:dyDescent="0.35">
      <c r="A5" s="11"/>
      <c r="C5" s="326" t="s">
        <v>144</v>
      </c>
      <c r="D5" s="40"/>
      <c r="J5" s="287"/>
      <c r="K5" s="123"/>
      <c r="L5" s="177" t="s">
        <v>141</v>
      </c>
      <c r="M5" s="302"/>
      <c r="N5" s="177" t="s">
        <v>212</v>
      </c>
      <c r="O5" s="302"/>
      <c r="P5" s="177" t="s">
        <v>142</v>
      </c>
      <c r="Q5" s="302"/>
      <c r="R5" s="177" t="s">
        <v>141</v>
      </c>
      <c r="S5" s="302"/>
      <c r="T5" s="177" t="s">
        <v>212</v>
      </c>
      <c r="U5" s="302"/>
      <c r="V5" s="284" t="s">
        <v>142</v>
      </c>
    </row>
    <row r="6" spans="1:22" ht="19.5" thickBot="1" x14ac:dyDescent="0.35">
      <c r="A6" s="11" t="s">
        <v>128</v>
      </c>
      <c r="J6" s="284"/>
      <c r="L6" s="279" t="s">
        <v>207</v>
      </c>
      <c r="M6" s="280"/>
      <c r="N6" s="280"/>
      <c r="O6" s="280"/>
      <c r="P6" s="280"/>
      <c r="Q6" s="280"/>
      <c r="R6" s="279" t="s">
        <v>213</v>
      </c>
      <c r="S6" s="280"/>
      <c r="T6" s="280"/>
      <c r="U6" s="281"/>
      <c r="V6" s="281"/>
    </row>
    <row r="7" spans="1:22" ht="19.5" thickBot="1" x14ac:dyDescent="0.35">
      <c r="A7" s="11"/>
      <c r="B7" s="7"/>
      <c r="C7" s="71" t="s">
        <v>61</v>
      </c>
      <c r="D7" s="71" t="s">
        <v>62</v>
      </c>
      <c r="E7" s="71"/>
      <c r="F7" s="71"/>
      <c r="G7" s="71"/>
      <c r="H7" s="134">
        <v>2020</v>
      </c>
      <c r="I7" s="71"/>
      <c r="J7" s="41"/>
      <c r="L7" s="299"/>
      <c r="M7" s="300">
        <f>Parameter!$E$2</f>
        <v>2026</v>
      </c>
      <c r="N7" s="299"/>
      <c r="O7" s="300">
        <f>Parameter!$E$2</f>
        <v>2026</v>
      </c>
      <c r="P7" s="299"/>
      <c r="Q7" s="300">
        <f>Parameter!$E$2</f>
        <v>2026</v>
      </c>
      <c r="R7" s="327">
        <f>M7</f>
        <v>2026</v>
      </c>
      <c r="S7" s="282"/>
      <c r="T7" s="295">
        <f>O7</f>
        <v>2026</v>
      </c>
      <c r="U7" s="328"/>
      <c r="V7" s="296">
        <f>Q7</f>
        <v>2026</v>
      </c>
    </row>
    <row r="8" spans="1:22" ht="18.75" x14ac:dyDescent="0.3">
      <c r="A8" s="11"/>
      <c r="B8" s="262" t="s">
        <v>32</v>
      </c>
      <c r="C8" s="263" t="s">
        <v>127</v>
      </c>
      <c r="D8" s="264"/>
      <c r="E8" s="264"/>
      <c r="F8" s="264"/>
      <c r="G8" s="265"/>
      <c r="H8" s="266">
        <f>H9+H11</f>
        <v>6000000</v>
      </c>
      <c r="I8" s="264" t="s">
        <v>131</v>
      </c>
      <c r="J8" s="272">
        <f>SUM(J9:J11)</f>
        <v>6760000</v>
      </c>
      <c r="L8" s="273"/>
      <c r="M8" s="275">
        <f t="shared" ref="M8:Q8" si="0">M9+M11</f>
        <v>4500000</v>
      </c>
      <c r="N8" s="273"/>
      <c r="O8" s="275">
        <f t="shared" si="0"/>
        <v>5500000</v>
      </c>
      <c r="P8" s="273"/>
      <c r="Q8" s="275">
        <f t="shared" si="0"/>
        <v>5500000</v>
      </c>
      <c r="R8" s="273">
        <f>SUM(R9:R11)</f>
        <v>5100000</v>
      </c>
      <c r="S8" s="274"/>
      <c r="T8" s="274">
        <f>SUM(T9:T11)</f>
        <v>6220000</v>
      </c>
      <c r="U8" s="275"/>
      <c r="V8" s="275">
        <f>SUM(V9:V11)</f>
        <v>6220000</v>
      </c>
    </row>
    <row r="9" spans="1:22" ht="18.75" x14ac:dyDescent="0.3">
      <c r="A9" s="11"/>
      <c r="B9" s="61">
        <v>1</v>
      </c>
      <c r="C9" s="13" t="s">
        <v>107</v>
      </c>
      <c r="D9" s="315" t="s">
        <v>4</v>
      </c>
      <c r="E9" s="32"/>
      <c r="F9" s="32"/>
      <c r="G9" s="13"/>
      <c r="H9" s="219">
        <v>3000000</v>
      </c>
      <c r="I9" s="59">
        <f>(1-I10)</f>
        <v>0.6</v>
      </c>
      <c r="J9" s="64">
        <f>H9*I9</f>
        <v>1800000</v>
      </c>
      <c r="L9" s="292"/>
      <c r="M9" s="289">
        <v>2500000</v>
      </c>
      <c r="N9" s="292"/>
      <c r="O9" s="311">
        <v>3000000</v>
      </c>
      <c r="P9" s="312">
        <v>500000</v>
      </c>
      <c r="Q9" s="305">
        <f>M9+P9</f>
        <v>3000000</v>
      </c>
      <c r="R9" s="139">
        <f>M9*$I9</f>
        <v>1500000</v>
      </c>
      <c r="S9" s="135"/>
      <c r="T9" s="135">
        <f>O9*$I9</f>
        <v>1800000</v>
      </c>
      <c r="U9" s="141"/>
      <c r="V9" s="141">
        <f>Q9*$I9</f>
        <v>1800000</v>
      </c>
    </row>
    <row r="10" spans="1:22" ht="18.75" x14ac:dyDescent="0.3">
      <c r="A10" s="11"/>
      <c r="B10" s="61" t="s">
        <v>16</v>
      </c>
      <c r="C10" s="13" t="s">
        <v>108</v>
      </c>
      <c r="D10" s="315" t="s">
        <v>4</v>
      </c>
      <c r="E10" s="32"/>
      <c r="F10" s="32"/>
      <c r="G10" s="13"/>
      <c r="H10" s="219">
        <v>4900000</v>
      </c>
      <c r="I10" s="59">
        <f>H19</f>
        <v>0.4</v>
      </c>
      <c r="J10" s="64">
        <f>H10*I10</f>
        <v>1960000</v>
      </c>
      <c r="L10" s="293"/>
      <c r="M10" s="289">
        <v>4000000</v>
      </c>
      <c r="N10" s="293"/>
      <c r="O10" s="311">
        <v>4800000</v>
      </c>
      <c r="P10" s="313">
        <v>800000</v>
      </c>
      <c r="Q10" s="305">
        <f>M10+P10</f>
        <v>4800000</v>
      </c>
      <c r="R10" s="139">
        <f>M10*$I10</f>
        <v>1600000</v>
      </c>
      <c r="S10" s="135"/>
      <c r="T10" s="135">
        <f>O10*$I10</f>
        <v>1920000</v>
      </c>
      <c r="U10" s="141"/>
      <c r="V10" s="141">
        <f>Q10*$I10</f>
        <v>1920000</v>
      </c>
    </row>
    <row r="11" spans="1:22" ht="18.75" x14ac:dyDescent="0.3">
      <c r="A11" s="11"/>
      <c r="B11" s="61" t="s">
        <v>17</v>
      </c>
      <c r="C11" s="13" t="s">
        <v>134</v>
      </c>
      <c r="D11" s="315" t="s">
        <v>4</v>
      </c>
      <c r="E11" s="32"/>
      <c r="F11" s="32"/>
      <c r="G11" s="13"/>
      <c r="H11" s="219">
        <v>3000000</v>
      </c>
      <c r="I11" s="32"/>
      <c r="J11" s="64">
        <f>H11</f>
        <v>3000000</v>
      </c>
      <c r="L11" s="294"/>
      <c r="M11" s="289">
        <v>2000000</v>
      </c>
      <c r="N11" s="294"/>
      <c r="O11" s="311">
        <v>2500000</v>
      </c>
      <c r="P11" s="314">
        <v>500000</v>
      </c>
      <c r="Q11" s="305">
        <f>M11+P11</f>
        <v>2500000</v>
      </c>
      <c r="R11" s="139">
        <f>M11</f>
        <v>2000000</v>
      </c>
      <c r="S11" s="135"/>
      <c r="T11" s="135">
        <f>O11</f>
        <v>2500000</v>
      </c>
      <c r="U11" s="141"/>
      <c r="V11" s="141">
        <f>Q11</f>
        <v>2500000</v>
      </c>
    </row>
    <row r="12" spans="1:22" ht="18.75" x14ac:dyDescent="0.3">
      <c r="A12" s="11"/>
      <c r="B12" s="267" t="s">
        <v>18</v>
      </c>
      <c r="C12" s="268" t="s">
        <v>129</v>
      </c>
      <c r="D12" s="268"/>
      <c r="E12" s="268"/>
      <c r="F12" s="268"/>
      <c r="G12" s="268"/>
      <c r="H12" s="269">
        <f>H13</f>
        <v>50000</v>
      </c>
      <c r="I12" s="270"/>
      <c r="J12" s="271">
        <f>J13</f>
        <v>50000</v>
      </c>
      <c r="L12" s="277"/>
      <c r="M12" s="278">
        <f t="shared" ref="M12:V12" si="1">M13</f>
        <v>20000</v>
      </c>
      <c r="N12" s="277"/>
      <c r="O12" s="278">
        <f t="shared" si="1"/>
        <v>20000</v>
      </c>
      <c r="P12" s="277"/>
      <c r="Q12" s="278">
        <f t="shared" si="1"/>
        <v>20000</v>
      </c>
      <c r="R12" s="277">
        <f t="shared" si="1"/>
        <v>20000</v>
      </c>
      <c r="S12" s="276"/>
      <c r="T12" s="276">
        <f t="shared" si="1"/>
        <v>20000</v>
      </c>
      <c r="U12" s="278"/>
      <c r="V12" s="278">
        <f t="shared" si="1"/>
        <v>20000</v>
      </c>
    </row>
    <row r="13" spans="1:22" ht="19.5" thickBot="1" x14ac:dyDescent="0.35">
      <c r="A13" s="11"/>
      <c r="B13" s="62">
        <v>1</v>
      </c>
      <c r="C13" s="57" t="s">
        <v>130</v>
      </c>
      <c r="D13" s="316" t="s">
        <v>3</v>
      </c>
      <c r="E13" s="57"/>
      <c r="F13" s="57"/>
      <c r="G13" s="57"/>
      <c r="H13" s="228">
        <v>50000</v>
      </c>
      <c r="I13" s="58"/>
      <c r="J13" s="63">
        <f>H13</f>
        <v>50000</v>
      </c>
      <c r="L13" s="140"/>
      <c r="M13" s="301">
        <v>20000</v>
      </c>
      <c r="N13" s="140"/>
      <c r="O13" s="305">
        <f>M13</f>
        <v>20000</v>
      </c>
      <c r="P13" s="140"/>
      <c r="Q13" s="305">
        <f>M13</f>
        <v>20000</v>
      </c>
      <c r="R13" s="329">
        <f>M13</f>
        <v>20000</v>
      </c>
      <c r="S13" s="136"/>
      <c r="T13" s="136">
        <f>O13</f>
        <v>20000</v>
      </c>
      <c r="U13" s="137"/>
      <c r="V13" s="137">
        <f>Q13</f>
        <v>20000</v>
      </c>
    </row>
    <row r="14" spans="1:22" ht="19.5" thickBot="1" x14ac:dyDescent="0.35">
      <c r="A14" s="11"/>
      <c r="B14" s="89" t="s">
        <v>25</v>
      </c>
      <c r="C14" s="90" t="s">
        <v>109</v>
      </c>
      <c r="D14" s="90"/>
      <c r="E14" s="90"/>
      <c r="F14" s="90"/>
      <c r="G14" s="90"/>
      <c r="H14" s="91">
        <f>H8+H12</f>
        <v>6050000</v>
      </c>
      <c r="I14" s="90"/>
      <c r="J14" s="91">
        <f>J8+J12</f>
        <v>6810000</v>
      </c>
      <c r="L14" s="89"/>
      <c r="M14" s="138">
        <f t="shared" ref="M14:V14" si="2">M8+M12</f>
        <v>4520000</v>
      </c>
      <c r="N14" s="89"/>
      <c r="O14" s="138">
        <f t="shared" si="2"/>
        <v>5520000</v>
      </c>
      <c r="P14" s="89"/>
      <c r="Q14" s="138">
        <f t="shared" si="2"/>
        <v>5520000</v>
      </c>
      <c r="R14" s="89">
        <f t="shared" si="2"/>
        <v>5120000</v>
      </c>
      <c r="S14" s="90"/>
      <c r="T14" s="90">
        <f t="shared" si="2"/>
        <v>6240000</v>
      </c>
      <c r="U14" s="138"/>
      <c r="V14" s="138">
        <f t="shared" si="2"/>
        <v>6240000</v>
      </c>
    </row>
    <row r="15" spans="1:22" ht="19.5" thickBot="1" x14ac:dyDescent="0.35">
      <c r="A15" s="11"/>
      <c r="B15" s="239"/>
      <c r="C15" s="122" t="s">
        <v>110</v>
      </c>
      <c r="D15" s="240"/>
      <c r="E15" s="241"/>
      <c r="F15" s="241"/>
      <c r="G15" s="242"/>
      <c r="H15" s="241"/>
      <c r="I15" s="241"/>
      <c r="J15" s="243"/>
      <c r="L15" s="177"/>
      <c r="M15" s="302"/>
      <c r="N15" s="177"/>
      <c r="O15" s="302"/>
      <c r="P15" s="177"/>
      <c r="Q15" s="302"/>
      <c r="R15" s="169">
        <f>IFERROR(R14/$J14-1,0)</f>
        <v>-0.2481644640234949</v>
      </c>
      <c r="S15" s="151"/>
      <c r="T15" s="151">
        <f>IFERROR(T14/$J14-1,0)</f>
        <v>-8.3700440528634346E-2</v>
      </c>
      <c r="U15" s="152"/>
      <c r="V15" s="152">
        <f>IFERROR(V14/$J14-1,0)</f>
        <v>-8.3700440528634346E-2</v>
      </c>
    </row>
    <row r="16" spans="1:22" s="13" customFormat="1" x14ac:dyDescent="0.25">
      <c r="L16" s="16"/>
      <c r="M16" s="16"/>
      <c r="N16" s="16"/>
      <c r="O16" s="16"/>
      <c r="P16" s="16"/>
      <c r="Q16" s="16"/>
    </row>
    <row r="17" spans="1:22" s="13" customFormat="1" ht="19.5" thickBot="1" x14ac:dyDescent="0.35">
      <c r="A17" s="11" t="s">
        <v>126</v>
      </c>
      <c r="B17" s="12"/>
      <c r="C17" s="12"/>
      <c r="E17" s="14"/>
      <c r="F17" s="14"/>
      <c r="H17" s="32"/>
      <c r="I17" s="15"/>
      <c r="J17" s="12"/>
      <c r="L17" s="19"/>
      <c r="M17" s="19"/>
      <c r="N17" s="19"/>
      <c r="O17" s="19"/>
      <c r="P17" s="19"/>
      <c r="Q17" s="19"/>
      <c r="V17" s="14"/>
    </row>
    <row r="18" spans="1:22" ht="60" x14ac:dyDescent="0.25">
      <c r="A18" s="13"/>
      <c r="B18" s="78" t="s">
        <v>58</v>
      </c>
      <c r="C18" s="75"/>
      <c r="D18" s="75"/>
      <c r="E18" s="75" t="s">
        <v>125</v>
      </c>
      <c r="F18" s="127">
        <v>44196</v>
      </c>
      <c r="G18" s="75"/>
      <c r="H18" s="142" t="s">
        <v>59</v>
      </c>
      <c r="I18" s="76"/>
      <c r="J18" s="77" t="s">
        <v>60</v>
      </c>
      <c r="K18" s="13"/>
      <c r="L18" s="452" t="s">
        <v>208</v>
      </c>
      <c r="M18" s="67"/>
      <c r="N18" s="452" t="s">
        <v>209</v>
      </c>
      <c r="O18" s="67"/>
      <c r="P18" s="65"/>
      <c r="Q18" s="66"/>
      <c r="R18" s="65" t="s">
        <v>214</v>
      </c>
      <c r="S18" s="66"/>
      <c r="T18" s="66"/>
      <c r="U18" s="67"/>
      <c r="V18" s="67"/>
    </row>
    <row r="19" spans="1:22" s="20" customFormat="1" ht="15.75" thickBot="1" x14ac:dyDescent="0.3">
      <c r="A19" s="17"/>
      <c r="B19" s="79"/>
      <c r="C19" s="80" t="s">
        <v>61</v>
      </c>
      <c r="D19" s="80" t="s">
        <v>62</v>
      </c>
      <c r="E19" s="80" t="s">
        <v>63</v>
      </c>
      <c r="F19" s="80" t="s">
        <v>48</v>
      </c>
      <c r="G19" s="80" t="s">
        <v>64</v>
      </c>
      <c r="H19" s="18">
        <f>IF(H48=0,0,IF(H55/H48&lt;Parameter!B2,Parameter!B2,IF(H55/H48&gt;Parameter!B3,Parameter!B3,H55/H48)))</f>
        <v>0.4</v>
      </c>
      <c r="I19" s="81"/>
      <c r="J19" s="18">
        <f>IF(J48=0,0,J55/J48)</f>
        <v>0.60849056603773588</v>
      </c>
      <c r="K19" s="17"/>
      <c r="L19" s="144" t="str">
        <f>CONCATENATE("1.1.",Parameter!$E$2)</f>
        <v>1.1.2026</v>
      </c>
      <c r="M19" s="288" t="str">
        <f>CONCATENATE("31.12.",Parameter!$E$2)</f>
        <v>31.12.2026</v>
      </c>
      <c r="N19" s="144" t="str">
        <f>CONCATENATE("1.1.",Parameter!$E$2)</f>
        <v>1.1.2026</v>
      </c>
      <c r="O19" s="288" t="str">
        <f>CONCATENATE("31.12.",Parameter!$E$2)</f>
        <v>31.12.2026</v>
      </c>
      <c r="P19" s="144" t="str">
        <f>CONCATENATE("1.1.",Parameter!$E$2)</f>
        <v>1.1.2026</v>
      </c>
      <c r="Q19" s="330" t="str">
        <f>CONCATENATE("31.12.",Parameter!$E$2)</f>
        <v>31.12.2026</v>
      </c>
      <c r="R19" s="332">
        <f>R7</f>
        <v>2026</v>
      </c>
      <c r="S19" s="143"/>
      <c r="T19" s="297">
        <f>T7</f>
        <v>2026</v>
      </c>
      <c r="U19" s="333"/>
      <c r="V19" s="298">
        <f>V7</f>
        <v>2026</v>
      </c>
    </row>
    <row r="20" spans="1:22" s="22" customFormat="1" x14ac:dyDescent="0.2">
      <c r="A20" s="20"/>
      <c r="B20" s="92">
        <v>1</v>
      </c>
      <c r="C20" s="93" t="s">
        <v>65</v>
      </c>
      <c r="D20" s="93"/>
      <c r="E20" s="93"/>
      <c r="F20" s="93"/>
      <c r="G20" s="258"/>
      <c r="H20" s="94">
        <f>SUM(H21,H33)</f>
        <v>90200000</v>
      </c>
      <c r="I20" s="93"/>
      <c r="J20" s="94">
        <f>SUM(J21,J27,J33)</f>
        <v>100000000</v>
      </c>
      <c r="K20" s="20"/>
      <c r="L20" s="30"/>
      <c r="M20" s="95"/>
      <c r="N20" s="30"/>
      <c r="O20" s="95"/>
      <c r="P20" s="30"/>
      <c r="Q20" s="12"/>
      <c r="R20" s="30"/>
      <c r="S20" s="12"/>
      <c r="T20" s="12"/>
      <c r="U20" s="95"/>
      <c r="V20" s="95"/>
    </row>
    <row r="21" spans="1:22" s="22" customFormat="1" x14ac:dyDescent="0.2">
      <c r="B21" s="85" t="s">
        <v>10</v>
      </c>
      <c r="C21" s="86" t="s">
        <v>66</v>
      </c>
      <c r="D21" s="86"/>
      <c r="E21" s="86">
        <f>SUM(E22:E26)</f>
        <v>51500000</v>
      </c>
      <c r="F21" s="86">
        <f>SUM(F22:F26)</f>
        <v>46500000</v>
      </c>
      <c r="G21" s="145">
        <f>AVERAGE(E21:F21)</f>
        <v>49000000</v>
      </c>
      <c r="H21" s="87">
        <f>G21</f>
        <v>49000000</v>
      </c>
      <c r="I21" s="86" t="s">
        <v>67</v>
      </c>
      <c r="J21" s="87">
        <f>(1-H19)*G21</f>
        <v>29400000</v>
      </c>
      <c r="L21" s="85">
        <f t="shared" ref="L21:V21" si="3">SUM(L22:L26)</f>
        <v>35000000</v>
      </c>
      <c r="M21" s="145">
        <f t="shared" si="3"/>
        <v>32500000</v>
      </c>
      <c r="N21" s="85">
        <f t="shared" si="3"/>
        <v>35000000</v>
      </c>
      <c r="O21" s="145">
        <f t="shared" si="3"/>
        <v>32000000</v>
      </c>
      <c r="P21" s="85">
        <f t="shared" si="3"/>
        <v>35000000</v>
      </c>
      <c r="Q21" s="86">
        <f t="shared" si="3"/>
        <v>32000000</v>
      </c>
      <c r="R21" s="85">
        <f t="shared" si="3"/>
        <v>20550000</v>
      </c>
      <c r="S21" s="86"/>
      <c r="T21" s="86">
        <f t="shared" si="3"/>
        <v>20400000</v>
      </c>
      <c r="U21" s="145"/>
      <c r="V21" s="145">
        <f t="shared" si="3"/>
        <v>20400000</v>
      </c>
    </row>
    <row r="22" spans="1:22" s="22" customFormat="1" ht="18" customHeight="1" x14ac:dyDescent="0.2">
      <c r="B22" s="23" t="s">
        <v>11</v>
      </c>
      <c r="C22" s="24" t="s">
        <v>68</v>
      </c>
      <c r="D22" s="317" t="s">
        <v>3</v>
      </c>
      <c r="E22" s="227">
        <v>0</v>
      </c>
      <c r="F22" s="227">
        <v>0</v>
      </c>
      <c r="G22" s="290">
        <f>AVERAGE(E22:F22)</f>
        <v>0</v>
      </c>
      <c r="H22" s="25"/>
      <c r="I22" s="21"/>
      <c r="J22" s="25"/>
      <c r="L22" s="237">
        <v>0</v>
      </c>
      <c r="M22" s="289">
        <v>0</v>
      </c>
      <c r="N22" s="304">
        <f>L22</f>
        <v>0</v>
      </c>
      <c r="O22" s="305">
        <f>M22</f>
        <v>0</v>
      </c>
      <c r="P22" s="304">
        <f>L22</f>
        <v>0</v>
      </c>
      <c r="Q22" s="331">
        <f>M22</f>
        <v>0</v>
      </c>
      <c r="R22" s="146">
        <f>AVERAGE(L22:M22)*(1-$H$19)</f>
        <v>0</v>
      </c>
      <c r="S22" s="130"/>
      <c r="T22" s="130">
        <f>AVERAGE(N22:O22)*(1-$H$19)</f>
        <v>0</v>
      </c>
      <c r="U22" s="131"/>
      <c r="V22" s="131">
        <f>AVERAGE(P22:Q22)*(1-$H$19)</f>
        <v>0</v>
      </c>
    </row>
    <row r="23" spans="1:22" s="22" customFormat="1" ht="18" customHeight="1" x14ac:dyDescent="0.2">
      <c r="B23" s="23" t="s">
        <v>12</v>
      </c>
      <c r="C23" s="12" t="s">
        <v>111</v>
      </c>
      <c r="D23" s="315" t="s">
        <v>3</v>
      </c>
      <c r="E23" s="227">
        <v>0</v>
      </c>
      <c r="F23" s="227">
        <v>0</v>
      </c>
      <c r="G23" s="290">
        <f t="shared" ref="G23:G25" si="4">AVERAGE(E23:F23)</f>
        <v>0</v>
      </c>
      <c r="H23" s="25"/>
      <c r="I23" s="21"/>
      <c r="J23" s="25"/>
      <c r="L23" s="146"/>
      <c r="M23" s="131"/>
      <c r="N23" s="146"/>
      <c r="O23" s="131"/>
      <c r="P23" s="146"/>
      <c r="Q23" s="130"/>
      <c r="R23" s="334">
        <v>0</v>
      </c>
      <c r="S23" s="217"/>
      <c r="T23" s="217">
        <v>0</v>
      </c>
      <c r="U23" s="218"/>
      <c r="V23" s="218">
        <v>0</v>
      </c>
    </row>
    <row r="24" spans="1:22" s="22" customFormat="1" ht="18" customHeight="1" x14ac:dyDescent="0.25">
      <c r="B24" s="23" t="s">
        <v>33</v>
      </c>
      <c r="C24" s="24" t="s">
        <v>69</v>
      </c>
      <c r="D24" s="315" t="s">
        <v>4</v>
      </c>
      <c r="E24" s="227">
        <v>51000000</v>
      </c>
      <c r="F24" s="227">
        <v>46000000</v>
      </c>
      <c r="G24" s="290">
        <f t="shared" si="4"/>
        <v>48500000</v>
      </c>
      <c r="H24" s="25"/>
      <c r="I24" s="21"/>
      <c r="J24" s="25"/>
      <c r="L24" s="237">
        <v>35000000</v>
      </c>
      <c r="M24" s="305">
        <f>L24-M9</f>
        <v>32500000</v>
      </c>
      <c r="N24" s="454">
        <f>L24</f>
        <v>35000000</v>
      </c>
      <c r="O24" s="305">
        <f>N24-O9</f>
        <v>32000000</v>
      </c>
      <c r="P24" s="304">
        <f>L24</f>
        <v>35000000</v>
      </c>
      <c r="Q24" s="331">
        <f>P24-Q9</f>
        <v>32000000</v>
      </c>
      <c r="R24" s="146">
        <f>AVERAGE(L24:M24)*(1-$H$19)</f>
        <v>20250000</v>
      </c>
      <c r="S24" s="130"/>
      <c r="T24" s="130">
        <f>AVERAGE(N24:O24)*(1-$H$19)</f>
        <v>20100000</v>
      </c>
      <c r="U24" s="131"/>
      <c r="V24" s="131">
        <f>AVERAGE(P24:Q24)*(1-$H$19)</f>
        <v>20100000</v>
      </c>
    </row>
    <row r="25" spans="1:22" s="22" customFormat="1" ht="18" customHeight="1" x14ac:dyDescent="0.2">
      <c r="B25" s="23" t="s">
        <v>34</v>
      </c>
      <c r="C25" s="24" t="s">
        <v>70</v>
      </c>
      <c r="D25" s="315" t="s">
        <v>3</v>
      </c>
      <c r="E25" s="227">
        <v>500000</v>
      </c>
      <c r="F25" s="227">
        <v>500000</v>
      </c>
      <c r="G25" s="290">
        <f t="shared" si="4"/>
        <v>500000</v>
      </c>
      <c r="H25" s="25"/>
      <c r="I25" s="21"/>
      <c r="J25" s="25"/>
      <c r="L25" s="54"/>
      <c r="M25" s="55"/>
      <c r="N25" s="54"/>
      <c r="O25" s="55"/>
      <c r="P25" s="54"/>
      <c r="Q25" s="5"/>
      <c r="R25" s="334">
        <f>$F25*(1-$H$19)</f>
        <v>300000</v>
      </c>
      <c r="S25" s="217"/>
      <c r="T25" s="217">
        <f>$F25*(1-$H$19)</f>
        <v>300000</v>
      </c>
      <c r="U25" s="218"/>
      <c r="V25" s="218">
        <f>$F25*(1-$H$19)</f>
        <v>300000</v>
      </c>
    </row>
    <row r="26" spans="1:22" s="20" customFormat="1" ht="18" customHeight="1" x14ac:dyDescent="0.2">
      <c r="A26" s="22"/>
      <c r="B26" s="23" t="s">
        <v>44</v>
      </c>
      <c r="C26" s="24" t="s">
        <v>1</v>
      </c>
      <c r="D26" s="88"/>
      <c r="E26" s="227"/>
      <c r="F26" s="227"/>
      <c r="G26" s="290"/>
      <c r="H26" s="26"/>
      <c r="I26" s="21"/>
      <c r="J26" s="25"/>
      <c r="K26" s="22"/>
      <c r="L26" s="147"/>
      <c r="M26" s="148"/>
      <c r="N26" s="147"/>
      <c r="O26" s="148"/>
      <c r="P26" s="147"/>
      <c r="Q26" s="21"/>
      <c r="R26" s="147"/>
      <c r="S26" s="21"/>
      <c r="T26" s="21"/>
      <c r="U26" s="148"/>
      <c r="V26" s="148"/>
    </row>
    <row r="27" spans="1:22" s="20" customFormat="1" ht="18" customHeight="1" x14ac:dyDescent="0.2">
      <c r="B27" s="85" t="s">
        <v>13</v>
      </c>
      <c r="C27" s="86" t="s">
        <v>71</v>
      </c>
      <c r="D27" s="86"/>
      <c r="E27" s="86">
        <f>SUM(E28:E32)</f>
        <v>75500000</v>
      </c>
      <c r="F27" s="86">
        <f>SUM(F28:F32)</f>
        <v>71500000</v>
      </c>
      <c r="G27" s="145">
        <f>AVERAGE(E27:F27)</f>
        <v>73500000</v>
      </c>
      <c r="H27" s="87"/>
      <c r="I27" s="86" t="s">
        <v>72</v>
      </c>
      <c r="J27" s="87">
        <f>H19*G27</f>
        <v>29400000</v>
      </c>
      <c r="L27" s="85">
        <f t="shared" ref="L27:V27" si="5">SUM(L28:L32)</f>
        <v>50000000</v>
      </c>
      <c r="M27" s="145">
        <f t="shared" si="5"/>
        <v>46000000</v>
      </c>
      <c r="N27" s="85">
        <f t="shared" si="5"/>
        <v>50000000</v>
      </c>
      <c r="O27" s="145">
        <f t="shared" si="5"/>
        <v>45200000</v>
      </c>
      <c r="P27" s="85">
        <f t="shared" si="5"/>
        <v>50000000</v>
      </c>
      <c r="Q27" s="86">
        <f t="shared" si="5"/>
        <v>45200000</v>
      </c>
      <c r="R27" s="85">
        <f t="shared" si="5"/>
        <v>19400000</v>
      </c>
      <c r="S27" s="86"/>
      <c r="T27" s="86">
        <f t="shared" si="5"/>
        <v>19240000</v>
      </c>
      <c r="U27" s="145"/>
      <c r="V27" s="145">
        <f t="shared" si="5"/>
        <v>19240000</v>
      </c>
    </row>
    <row r="28" spans="1:22" s="20" customFormat="1" ht="18" customHeight="1" x14ac:dyDescent="0.2">
      <c r="B28" s="23" t="s">
        <v>14</v>
      </c>
      <c r="C28" s="24" t="s">
        <v>73</v>
      </c>
      <c r="D28" s="317" t="s">
        <v>3</v>
      </c>
      <c r="E28" s="227">
        <v>0</v>
      </c>
      <c r="F28" s="227">
        <v>0</v>
      </c>
      <c r="G28" s="290">
        <f>AVERAGE(E28:F28)</f>
        <v>0</v>
      </c>
      <c r="H28" s="26"/>
      <c r="I28" s="21"/>
      <c r="J28" s="25"/>
      <c r="L28" s="237">
        <v>0</v>
      </c>
      <c r="M28" s="289">
        <v>0</v>
      </c>
      <c r="N28" s="304">
        <f>L28</f>
        <v>0</v>
      </c>
      <c r="O28" s="305">
        <f>M28</f>
        <v>0</v>
      </c>
      <c r="P28" s="304">
        <f>L28</f>
        <v>0</v>
      </c>
      <c r="Q28" s="331">
        <f>M28</f>
        <v>0</v>
      </c>
      <c r="R28" s="146">
        <f>AVERAGE(L28:M28)*($H$19)</f>
        <v>0</v>
      </c>
      <c r="S28" s="130"/>
      <c r="T28" s="130">
        <f>AVERAGE(N28:O28)*($H$19)</f>
        <v>0</v>
      </c>
      <c r="U28" s="131"/>
      <c r="V28" s="131">
        <f>AVERAGE(P28:Q28)*($H$19)</f>
        <v>0</v>
      </c>
    </row>
    <row r="29" spans="1:22" s="20" customFormat="1" ht="18" customHeight="1" x14ac:dyDescent="0.2">
      <c r="B29" s="23" t="s">
        <v>15</v>
      </c>
      <c r="C29" s="24" t="s">
        <v>74</v>
      </c>
      <c r="D29" s="315" t="s">
        <v>3</v>
      </c>
      <c r="E29" s="227">
        <v>0</v>
      </c>
      <c r="F29" s="227">
        <v>0</v>
      </c>
      <c r="G29" s="290">
        <f>AVERAGE(E29:F29)</f>
        <v>0</v>
      </c>
      <c r="H29" s="25"/>
      <c r="I29" s="21"/>
      <c r="J29" s="25"/>
      <c r="L29" s="146"/>
      <c r="M29" s="131"/>
      <c r="N29" s="146"/>
      <c r="O29" s="131"/>
      <c r="P29" s="146"/>
      <c r="Q29" s="130"/>
      <c r="R29" s="334">
        <v>0</v>
      </c>
      <c r="S29" s="217"/>
      <c r="T29" s="217">
        <v>0</v>
      </c>
      <c r="U29" s="218"/>
      <c r="V29" s="218">
        <v>0</v>
      </c>
    </row>
    <row r="30" spans="1:22" s="20" customFormat="1" ht="18" customHeight="1" x14ac:dyDescent="0.25">
      <c r="B30" s="23" t="s">
        <v>35</v>
      </c>
      <c r="C30" s="24" t="s">
        <v>75</v>
      </c>
      <c r="D30" s="315" t="s">
        <v>4</v>
      </c>
      <c r="E30" s="227">
        <v>75000000</v>
      </c>
      <c r="F30" s="227">
        <v>71000000</v>
      </c>
      <c r="G30" s="290">
        <f>AVERAGE(E30:F30)</f>
        <v>73000000</v>
      </c>
      <c r="H30" s="25"/>
      <c r="I30" s="21"/>
      <c r="J30" s="25"/>
      <c r="L30" s="237">
        <v>50000000</v>
      </c>
      <c r="M30" s="305">
        <f>L30-M10</f>
        <v>46000000</v>
      </c>
      <c r="N30" s="454">
        <f>L30</f>
        <v>50000000</v>
      </c>
      <c r="O30" s="305">
        <f>N30-O10</f>
        <v>45200000</v>
      </c>
      <c r="P30" s="304">
        <f>L30</f>
        <v>50000000</v>
      </c>
      <c r="Q30" s="331">
        <f>P30-Q10</f>
        <v>45200000</v>
      </c>
      <c r="R30" s="146">
        <f>AVERAGE(L30:M30)*($H$19)</f>
        <v>19200000</v>
      </c>
      <c r="S30" s="130"/>
      <c r="T30" s="130">
        <f>AVERAGE(N30:O30)*($H$19)</f>
        <v>19040000</v>
      </c>
      <c r="U30" s="131"/>
      <c r="V30" s="131">
        <f>AVERAGE(P30:Q30)*($H$19)</f>
        <v>19040000</v>
      </c>
    </row>
    <row r="31" spans="1:22" s="20" customFormat="1" ht="18" customHeight="1" x14ac:dyDescent="0.2">
      <c r="B31" s="23" t="s">
        <v>36</v>
      </c>
      <c r="C31" s="24" t="s">
        <v>70</v>
      </c>
      <c r="D31" s="315" t="s">
        <v>3</v>
      </c>
      <c r="E31" s="291">
        <f>E25</f>
        <v>500000</v>
      </c>
      <c r="F31" s="291">
        <f>F25</f>
        <v>500000</v>
      </c>
      <c r="G31" s="290"/>
      <c r="H31" s="25"/>
      <c r="I31" s="21"/>
      <c r="J31" s="25"/>
      <c r="L31" s="54"/>
      <c r="M31" s="55"/>
      <c r="N31" s="54"/>
      <c r="O31" s="55"/>
      <c r="P31" s="54"/>
      <c r="Q31" s="5"/>
      <c r="R31" s="334">
        <f>$F25*($H$19)</f>
        <v>200000</v>
      </c>
      <c r="S31" s="217"/>
      <c r="T31" s="217">
        <f t="shared" ref="T31:V31" si="6">$F25*($H$19)</f>
        <v>200000</v>
      </c>
      <c r="U31" s="218"/>
      <c r="V31" s="218">
        <f t="shared" si="6"/>
        <v>200000</v>
      </c>
    </row>
    <row r="32" spans="1:22" s="22" customFormat="1" ht="18" customHeight="1" x14ac:dyDescent="0.2">
      <c r="A32" s="20"/>
      <c r="B32" s="23" t="s">
        <v>45</v>
      </c>
      <c r="C32" s="24" t="s">
        <v>1</v>
      </c>
      <c r="D32" s="88"/>
      <c r="E32" s="227"/>
      <c r="F32" s="227"/>
      <c r="G32" s="290"/>
      <c r="H32" s="25"/>
      <c r="I32" s="21"/>
      <c r="J32" s="25"/>
      <c r="K32" s="20"/>
      <c r="L32" s="147"/>
      <c r="M32" s="148"/>
      <c r="N32" s="147"/>
      <c r="O32" s="148"/>
      <c r="P32" s="147"/>
      <c r="Q32" s="21"/>
      <c r="R32" s="147"/>
      <c r="S32" s="21"/>
      <c r="T32" s="21"/>
      <c r="U32" s="148"/>
      <c r="V32" s="148"/>
    </row>
    <row r="33" spans="1:22" s="20" customFormat="1" ht="18" customHeight="1" x14ac:dyDescent="0.2">
      <c r="A33" s="22"/>
      <c r="B33" s="85" t="s">
        <v>5</v>
      </c>
      <c r="C33" s="86" t="s">
        <v>76</v>
      </c>
      <c r="D33" s="86"/>
      <c r="E33" s="86">
        <f>SUM(E34,E35:E36,E37)</f>
        <v>42500000</v>
      </c>
      <c r="F33" s="86">
        <f>SUM(F34,F35:F36,F37)</f>
        <v>39900000</v>
      </c>
      <c r="G33" s="145">
        <f>AVERAGE(E33:F33)</f>
        <v>41200000</v>
      </c>
      <c r="H33" s="87">
        <f>G33</f>
        <v>41200000</v>
      </c>
      <c r="I33" s="86"/>
      <c r="J33" s="87">
        <f>G33</f>
        <v>41200000</v>
      </c>
      <c r="K33" s="22"/>
      <c r="L33" s="85">
        <f t="shared" ref="L33:V33" si="7">SUM(L34,L35:L36,L37)</f>
        <v>30150000</v>
      </c>
      <c r="M33" s="145">
        <f t="shared" si="7"/>
        <v>28140000</v>
      </c>
      <c r="N33" s="85">
        <f t="shared" si="7"/>
        <v>30150000</v>
      </c>
      <c r="O33" s="145">
        <f t="shared" si="7"/>
        <v>27640000</v>
      </c>
      <c r="P33" s="85">
        <f t="shared" si="7"/>
        <v>30150000</v>
      </c>
      <c r="Q33" s="86">
        <f t="shared" si="7"/>
        <v>27640000</v>
      </c>
      <c r="R33" s="85">
        <f t="shared" si="7"/>
        <v>29465000</v>
      </c>
      <c r="S33" s="86"/>
      <c r="T33" s="86">
        <f t="shared" si="7"/>
        <v>29215000</v>
      </c>
      <c r="U33" s="145"/>
      <c r="V33" s="145">
        <f t="shared" si="7"/>
        <v>29215000</v>
      </c>
    </row>
    <row r="34" spans="1:22" s="20" customFormat="1" ht="18" customHeight="1" x14ac:dyDescent="0.2">
      <c r="B34" s="220" t="s">
        <v>6</v>
      </c>
      <c r="C34" s="221" t="s">
        <v>77</v>
      </c>
      <c r="D34" s="317" t="s">
        <v>3</v>
      </c>
      <c r="E34" s="227">
        <v>200000</v>
      </c>
      <c r="F34" s="227">
        <v>180000</v>
      </c>
      <c r="G34" s="290">
        <f t="shared" ref="G34:G37" si="8">AVERAGE(E34:F34)</f>
        <v>190000</v>
      </c>
      <c r="H34" s="222"/>
      <c r="I34" s="223"/>
      <c r="J34" s="222"/>
      <c r="L34" s="237">
        <v>150000</v>
      </c>
      <c r="M34" s="289">
        <v>140000</v>
      </c>
      <c r="N34" s="304">
        <f>L34</f>
        <v>150000</v>
      </c>
      <c r="O34" s="305">
        <f>M34</f>
        <v>140000</v>
      </c>
      <c r="P34" s="304">
        <f>L34</f>
        <v>150000</v>
      </c>
      <c r="Q34" s="331">
        <f>M34</f>
        <v>140000</v>
      </c>
      <c r="R34" s="146">
        <f>AVERAGE(L34:M34)</f>
        <v>145000</v>
      </c>
      <c r="S34" s="130"/>
      <c r="T34" s="130">
        <f>AVERAGE(N34:O34)</f>
        <v>145000</v>
      </c>
      <c r="U34" s="131"/>
      <c r="V34" s="131">
        <f>AVERAGE(P34:Q34)</f>
        <v>145000</v>
      </c>
    </row>
    <row r="35" spans="1:22" s="20" customFormat="1" ht="18" customHeight="1" x14ac:dyDescent="0.2">
      <c r="B35" s="23" t="s">
        <v>7</v>
      </c>
      <c r="C35" s="24" t="s">
        <v>111</v>
      </c>
      <c r="D35" s="315" t="s">
        <v>3</v>
      </c>
      <c r="E35" s="227">
        <v>2000000</v>
      </c>
      <c r="F35" s="227">
        <v>1400000</v>
      </c>
      <c r="G35" s="290">
        <f t="shared" si="8"/>
        <v>1700000</v>
      </c>
      <c r="H35" s="25"/>
      <c r="I35" s="21"/>
      <c r="J35" s="25"/>
      <c r="L35" s="146"/>
      <c r="M35" s="131"/>
      <c r="N35" s="146"/>
      <c r="O35" s="131"/>
      <c r="P35" s="146"/>
      <c r="Q35" s="130"/>
      <c r="R35" s="334">
        <v>0</v>
      </c>
      <c r="S35" s="217"/>
      <c r="T35" s="217">
        <v>0</v>
      </c>
      <c r="U35" s="218"/>
      <c r="V35" s="218">
        <v>0</v>
      </c>
    </row>
    <row r="36" spans="1:22" s="20" customFormat="1" ht="18" customHeight="1" x14ac:dyDescent="0.25">
      <c r="B36" s="23" t="s">
        <v>8</v>
      </c>
      <c r="C36" s="24" t="s">
        <v>78</v>
      </c>
      <c r="D36" s="315" t="s">
        <v>4</v>
      </c>
      <c r="E36" s="227">
        <v>40000000</v>
      </c>
      <c r="F36" s="227">
        <v>38000000</v>
      </c>
      <c r="G36" s="290">
        <f t="shared" si="8"/>
        <v>39000000</v>
      </c>
      <c r="H36" s="25"/>
      <c r="I36" s="21"/>
      <c r="J36" s="25"/>
      <c r="L36" s="237">
        <v>30000000</v>
      </c>
      <c r="M36" s="305">
        <f>L36-M11</f>
        <v>28000000</v>
      </c>
      <c r="N36" s="454">
        <f>L36</f>
        <v>30000000</v>
      </c>
      <c r="O36" s="305">
        <f>N36-O11</f>
        <v>27500000</v>
      </c>
      <c r="P36" s="304">
        <f>L36</f>
        <v>30000000</v>
      </c>
      <c r="Q36" s="331">
        <f>P36-Q11</f>
        <v>27500000</v>
      </c>
      <c r="R36" s="146">
        <f>AVERAGE(L36:M36)</f>
        <v>29000000</v>
      </c>
      <c r="S36" s="130"/>
      <c r="T36" s="130">
        <f>AVERAGE(N36:O36)</f>
        <v>28750000</v>
      </c>
      <c r="U36" s="131"/>
      <c r="V36" s="131">
        <f>AVERAGE(P36:Q36)</f>
        <v>28750000</v>
      </c>
    </row>
    <row r="37" spans="1:22" s="20" customFormat="1" ht="18" customHeight="1" x14ac:dyDescent="0.2">
      <c r="B37" s="23" t="s">
        <v>9</v>
      </c>
      <c r="C37" s="24" t="s">
        <v>79</v>
      </c>
      <c r="D37" s="315" t="s">
        <v>3</v>
      </c>
      <c r="E37" s="227">
        <v>300000</v>
      </c>
      <c r="F37" s="227">
        <v>320000</v>
      </c>
      <c r="G37" s="290">
        <f t="shared" si="8"/>
        <v>310000</v>
      </c>
      <c r="H37" s="25"/>
      <c r="I37" s="21"/>
      <c r="J37" s="25"/>
      <c r="L37" s="54"/>
      <c r="M37" s="55"/>
      <c r="N37" s="54"/>
      <c r="O37" s="55"/>
      <c r="P37" s="54"/>
      <c r="Q37" s="5"/>
      <c r="R37" s="334">
        <f>$F37</f>
        <v>320000</v>
      </c>
      <c r="S37" s="217"/>
      <c r="T37" s="217">
        <f>$F37</f>
        <v>320000</v>
      </c>
      <c r="U37" s="218"/>
      <c r="V37" s="218">
        <f>$F37</f>
        <v>320000</v>
      </c>
    </row>
    <row r="38" spans="1:22" s="20" customFormat="1" ht="15.75" thickBot="1" x14ac:dyDescent="0.25">
      <c r="B38" s="224" t="s">
        <v>38</v>
      </c>
      <c r="C38" s="122" t="s">
        <v>22</v>
      </c>
      <c r="D38" s="96"/>
      <c r="E38" s="227"/>
      <c r="F38" s="227"/>
      <c r="G38" s="290"/>
      <c r="H38" s="225"/>
      <c r="I38" s="226"/>
      <c r="J38" s="225"/>
      <c r="L38" s="147"/>
      <c r="M38" s="148"/>
      <c r="N38" s="147"/>
      <c r="O38" s="148"/>
      <c r="P38" s="147"/>
      <c r="Q38" s="21"/>
      <c r="R38" s="146"/>
      <c r="S38" s="130"/>
      <c r="T38" s="130"/>
      <c r="U38" s="131"/>
      <c r="V38" s="131"/>
    </row>
    <row r="39" spans="1:22" s="20" customFormat="1" ht="16.5" thickBot="1" x14ac:dyDescent="0.25">
      <c r="B39" s="82" t="s">
        <v>133</v>
      </c>
      <c r="C39" s="83" t="s">
        <v>112</v>
      </c>
      <c r="D39" s="83"/>
      <c r="E39" s="133"/>
      <c r="F39" s="133"/>
      <c r="G39" s="56"/>
      <c r="H39" s="84">
        <f>H20</f>
        <v>90200000</v>
      </c>
      <c r="I39" s="83"/>
      <c r="J39" s="84">
        <f>J20</f>
        <v>100000000</v>
      </c>
      <c r="L39" s="149"/>
      <c r="M39" s="56"/>
      <c r="N39" s="149"/>
      <c r="O39" s="56"/>
      <c r="P39" s="149"/>
      <c r="Q39" s="133"/>
      <c r="R39" s="149">
        <f>SUM(R21,R27,R33)</f>
        <v>69415000</v>
      </c>
      <c r="S39" s="133"/>
      <c r="T39" s="133">
        <f>SUM(T21,T27,T33)</f>
        <v>68855000</v>
      </c>
      <c r="U39" s="56"/>
      <c r="V39" s="56">
        <f>SUM(V21,V27,V33)</f>
        <v>68855000</v>
      </c>
    </row>
    <row r="40" spans="1:22" s="22" customFormat="1" ht="15.75" thickBot="1" x14ac:dyDescent="0.3">
      <c r="A40" s="20"/>
      <c r="B40" s="178"/>
      <c r="C40" s="154" t="s">
        <v>113</v>
      </c>
      <c r="D40" s="231"/>
      <c r="E40" s="154"/>
      <c r="F40" s="154"/>
      <c r="G40" s="154"/>
      <c r="H40" s="154"/>
      <c r="I40" s="154"/>
      <c r="J40" s="179"/>
      <c r="K40" s="20"/>
      <c r="L40" s="195"/>
      <c r="M40" s="196"/>
      <c r="N40" s="195"/>
      <c r="O40" s="196"/>
      <c r="P40" s="195"/>
      <c r="Q40" s="153"/>
      <c r="R40" s="169">
        <f>IFERROR(R39/$J39-1,0)</f>
        <v>-0.30584999999999996</v>
      </c>
      <c r="S40" s="151"/>
      <c r="T40" s="151">
        <f>IFERROR(T39/$J39-1,0)</f>
        <v>-0.31145</v>
      </c>
      <c r="U40" s="152"/>
      <c r="V40" s="152">
        <f>IFERROR(V39/$J39-1,0)</f>
        <v>-0.31145</v>
      </c>
    </row>
    <row r="41" spans="1:22" s="22" customFormat="1" ht="15.75" thickBot="1" x14ac:dyDescent="0.25">
      <c r="A41" s="20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155"/>
      <c r="M41" s="155"/>
      <c r="N41" s="155"/>
      <c r="O41" s="155"/>
      <c r="P41" s="155"/>
      <c r="Q41" s="155"/>
      <c r="R41" s="335"/>
      <c r="S41" s="155"/>
      <c r="T41" s="155"/>
      <c r="U41" s="336"/>
      <c r="V41" s="155"/>
    </row>
    <row r="42" spans="1:22" s="22" customFormat="1" ht="15.75" thickBot="1" x14ac:dyDescent="0.25">
      <c r="A42" s="20"/>
      <c r="B42" s="92" t="s">
        <v>16</v>
      </c>
      <c r="C42" s="93" t="s">
        <v>37</v>
      </c>
      <c r="D42" s="318" t="s">
        <v>80</v>
      </c>
      <c r="E42" s="235">
        <v>0</v>
      </c>
      <c r="F42" s="235">
        <v>0</v>
      </c>
      <c r="G42" s="93">
        <f t="shared" ref="G42:G47" si="9">AVERAGE(E42:F42)</f>
        <v>0</v>
      </c>
      <c r="H42" s="94">
        <f>G42</f>
        <v>0</v>
      </c>
      <c r="I42" s="93"/>
      <c r="J42" s="94">
        <f>G42</f>
        <v>0</v>
      </c>
      <c r="K42" s="29"/>
      <c r="L42" s="92"/>
      <c r="M42" s="258"/>
      <c r="N42" s="92"/>
      <c r="O42" s="258"/>
      <c r="P42" s="92"/>
      <c r="Q42" s="93"/>
      <c r="R42" s="92">
        <f>$J42*(1+R$40)</f>
        <v>0</v>
      </c>
      <c r="S42" s="93"/>
      <c r="T42" s="93">
        <f t="shared" ref="T42:V42" si="10">$J42*(1+T$40)</f>
        <v>0</v>
      </c>
      <c r="U42" s="258"/>
      <c r="V42" s="258">
        <f t="shared" si="10"/>
        <v>0</v>
      </c>
    </row>
    <row r="43" spans="1:22" s="22" customFormat="1" ht="15.75" thickBot="1" x14ac:dyDescent="0.25">
      <c r="B43" s="42" t="s">
        <v>17</v>
      </c>
      <c r="C43" s="43" t="s">
        <v>81</v>
      </c>
      <c r="D43" s="43"/>
      <c r="E43" s="43">
        <f>SUM(E44:E47)</f>
        <v>6100000</v>
      </c>
      <c r="F43" s="43">
        <f>SUM(F44:F47)</f>
        <v>5900000</v>
      </c>
      <c r="G43" s="43">
        <f t="shared" si="9"/>
        <v>6000000</v>
      </c>
      <c r="H43" s="44">
        <f>G43</f>
        <v>6000000</v>
      </c>
      <c r="I43" s="43"/>
      <c r="J43" s="44">
        <f>SUM(J44,J45,J46,J47)</f>
        <v>6000000</v>
      </c>
      <c r="K43" s="29"/>
      <c r="L43" s="42"/>
      <c r="M43" s="53"/>
      <c r="N43" s="42"/>
      <c r="O43" s="53"/>
      <c r="P43" s="42"/>
      <c r="Q43" s="43"/>
      <c r="R43" s="42">
        <f>SUM(R44,R45,R46,R47)</f>
        <v>4164900</v>
      </c>
      <c r="S43" s="43"/>
      <c r="T43" s="43">
        <f>SUM(T44,T45,T46,T47)</f>
        <v>4131300</v>
      </c>
      <c r="U43" s="53"/>
      <c r="V43" s="53">
        <f>SUM(V44,V45,V46,V47)</f>
        <v>4131300</v>
      </c>
    </row>
    <row r="44" spans="1:22" s="22" customFormat="1" x14ac:dyDescent="0.2">
      <c r="B44" s="47" t="s">
        <v>82</v>
      </c>
      <c r="C44" s="50" t="s">
        <v>39</v>
      </c>
      <c r="D44" s="319" t="s">
        <v>80</v>
      </c>
      <c r="E44" s="259">
        <v>2100000</v>
      </c>
      <c r="F44" s="260">
        <v>1900000</v>
      </c>
      <c r="G44" s="261">
        <f t="shared" si="9"/>
        <v>2000000</v>
      </c>
      <c r="H44" s="48"/>
      <c r="I44" s="50"/>
      <c r="J44" s="48">
        <f>G44</f>
        <v>2000000</v>
      </c>
      <c r="K44" s="29"/>
      <c r="L44" s="47"/>
      <c r="M44" s="261"/>
      <c r="N44" s="47"/>
      <c r="O44" s="261"/>
      <c r="P44" s="47"/>
      <c r="Q44" s="50"/>
      <c r="R44" s="47">
        <f>$J44*(1+R$40)</f>
        <v>1388300</v>
      </c>
      <c r="S44" s="50"/>
      <c r="T44" s="50">
        <f t="shared" ref="R44:V47" si="11">$J44*(1+T$40)</f>
        <v>1377100</v>
      </c>
      <c r="U44" s="261"/>
      <c r="V44" s="261">
        <f t="shared" si="11"/>
        <v>1377100</v>
      </c>
    </row>
    <row r="45" spans="1:22" s="22" customFormat="1" x14ac:dyDescent="0.2">
      <c r="B45" s="85" t="s">
        <v>23</v>
      </c>
      <c r="C45" s="86" t="s">
        <v>40</v>
      </c>
      <c r="D45" s="316" t="s">
        <v>80</v>
      </c>
      <c r="E45" s="68">
        <v>4000000</v>
      </c>
      <c r="F45" s="69">
        <v>4000000</v>
      </c>
      <c r="G45" s="86">
        <f t="shared" si="9"/>
        <v>4000000</v>
      </c>
      <c r="H45" s="87"/>
      <c r="I45" s="86"/>
      <c r="J45" s="87">
        <f>G45</f>
        <v>4000000</v>
      </c>
      <c r="K45" s="29"/>
      <c r="L45" s="85"/>
      <c r="M45" s="145"/>
      <c r="N45" s="85"/>
      <c r="O45" s="145"/>
      <c r="P45" s="85"/>
      <c r="Q45" s="86"/>
      <c r="R45" s="85">
        <f>$J45*(1+R$40)</f>
        <v>2776600</v>
      </c>
      <c r="S45" s="86"/>
      <c r="T45" s="86">
        <f t="shared" si="11"/>
        <v>2754200</v>
      </c>
      <c r="U45" s="145"/>
      <c r="V45" s="145">
        <f t="shared" si="11"/>
        <v>2754200</v>
      </c>
    </row>
    <row r="46" spans="1:22" s="22" customFormat="1" x14ac:dyDescent="0.2">
      <c r="B46" s="85" t="s">
        <v>83</v>
      </c>
      <c r="C46" s="86" t="s">
        <v>41</v>
      </c>
      <c r="D46" s="316" t="s">
        <v>80</v>
      </c>
      <c r="E46" s="68">
        <v>0</v>
      </c>
      <c r="F46" s="69">
        <v>0</v>
      </c>
      <c r="G46" s="86">
        <f t="shared" si="9"/>
        <v>0</v>
      </c>
      <c r="H46" s="87"/>
      <c r="I46" s="86"/>
      <c r="J46" s="87">
        <f>G46</f>
        <v>0</v>
      </c>
      <c r="L46" s="85"/>
      <c r="M46" s="145"/>
      <c r="N46" s="85"/>
      <c r="O46" s="145"/>
      <c r="P46" s="85"/>
      <c r="Q46" s="86"/>
      <c r="R46" s="85">
        <f t="shared" si="11"/>
        <v>0</v>
      </c>
      <c r="S46" s="86"/>
      <c r="T46" s="86">
        <f t="shared" si="11"/>
        <v>0</v>
      </c>
      <c r="U46" s="145"/>
      <c r="V46" s="145">
        <f t="shared" si="11"/>
        <v>0</v>
      </c>
    </row>
    <row r="47" spans="1:22" s="20" customFormat="1" ht="15.75" thickBot="1" x14ac:dyDescent="0.25">
      <c r="A47" s="22"/>
      <c r="B47" s="232" t="s">
        <v>24</v>
      </c>
      <c r="C47" s="49" t="s">
        <v>42</v>
      </c>
      <c r="D47" s="317" t="s">
        <v>80</v>
      </c>
      <c r="E47" s="229">
        <v>0</v>
      </c>
      <c r="F47" s="230">
        <v>0</v>
      </c>
      <c r="G47" s="233">
        <f t="shared" si="9"/>
        <v>0</v>
      </c>
      <c r="H47" s="234"/>
      <c r="I47" s="49"/>
      <c r="J47" s="234">
        <f>G47</f>
        <v>0</v>
      </c>
      <c r="L47" s="157"/>
      <c r="M47" s="156"/>
      <c r="N47" s="157"/>
      <c r="O47" s="156"/>
      <c r="P47" s="157"/>
      <c r="Q47" s="132"/>
      <c r="R47" s="157">
        <f t="shared" si="11"/>
        <v>0</v>
      </c>
      <c r="S47" s="132"/>
      <c r="T47" s="132">
        <f t="shared" si="11"/>
        <v>0</v>
      </c>
      <c r="U47" s="156"/>
      <c r="V47" s="156">
        <f t="shared" si="11"/>
        <v>0</v>
      </c>
    </row>
    <row r="48" spans="1:22" s="22" customFormat="1" ht="19.5" thickBot="1" x14ac:dyDescent="0.25">
      <c r="B48" s="180" t="s">
        <v>32</v>
      </c>
      <c r="C48" s="181" t="s">
        <v>84</v>
      </c>
      <c r="D48" s="181" t="s">
        <v>85</v>
      </c>
      <c r="E48" s="181"/>
      <c r="F48" s="181"/>
      <c r="G48" s="181"/>
      <c r="H48" s="182">
        <f>SUM(H43,H42,H20)</f>
        <v>96200000</v>
      </c>
      <c r="I48" s="181"/>
      <c r="J48" s="182">
        <f>SUM(J43,J42,J20)</f>
        <v>106000000</v>
      </c>
      <c r="K48" s="20"/>
      <c r="L48" s="180"/>
      <c r="M48" s="184"/>
      <c r="N48" s="180"/>
      <c r="O48" s="184"/>
      <c r="P48" s="180"/>
      <c r="Q48" s="181"/>
      <c r="R48" s="180">
        <f>SUM(R39,R42,R43)</f>
        <v>73579900</v>
      </c>
      <c r="S48" s="181"/>
      <c r="T48" s="181">
        <f>SUM(T39,T42,T43)</f>
        <v>72986300</v>
      </c>
      <c r="U48" s="184"/>
      <c r="V48" s="184">
        <f>SUM(V39,V42,V43)</f>
        <v>72986300</v>
      </c>
    </row>
    <row r="49" spans="1:22" s="20" customFormat="1" ht="15.75" thickBot="1" x14ac:dyDescent="0.3">
      <c r="A49" s="22"/>
      <c r="B49" s="178"/>
      <c r="C49" s="153" t="s">
        <v>114</v>
      </c>
      <c r="D49" s="252"/>
      <c r="E49" s="253"/>
      <c r="F49" s="253"/>
      <c r="G49" s="253"/>
      <c r="H49" s="253"/>
      <c r="I49" s="253"/>
      <c r="J49" s="254"/>
      <c r="K49" s="22"/>
      <c r="L49" s="255"/>
      <c r="M49" s="197"/>
      <c r="N49" s="255"/>
      <c r="O49" s="197"/>
      <c r="P49" s="255"/>
      <c r="Q49" s="231"/>
      <c r="R49" s="337">
        <f>IFERROR(R48/$J48-1,0)</f>
        <v>-0.30584999999999996</v>
      </c>
      <c r="S49" s="256"/>
      <c r="T49" s="256">
        <f>IFERROR(T48/$J48-1,0)</f>
        <v>-0.31145</v>
      </c>
      <c r="U49" s="257"/>
      <c r="V49" s="257">
        <f>IFERROR(V48/$J48-1,0)</f>
        <v>-0.31145</v>
      </c>
    </row>
    <row r="50" spans="1:22" s="20" customFormat="1" ht="15.75" thickBot="1" x14ac:dyDescent="0.25">
      <c r="B50" s="154"/>
      <c r="C50" s="154"/>
      <c r="D50" s="154"/>
      <c r="E50" s="154"/>
      <c r="F50" s="154"/>
      <c r="G50" s="154"/>
      <c r="H50" s="154"/>
      <c r="I50" s="154"/>
      <c r="J50" s="154"/>
      <c r="K50" s="12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</row>
    <row r="51" spans="1:22" s="129" customFormat="1" ht="18" customHeight="1" x14ac:dyDescent="0.2">
      <c r="A51" s="128"/>
      <c r="B51" s="72" t="s">
        <v>19</v>
      </c>
      <c r="C51" s="73" t="s">
        <v>43</v>
      </c>
      <c r="D51" s="320" t="s">
        <v>86</v>
      </c>
      <c r="E51" s="245">
        <v>17000000</v>
      </c>
      <c r="F51" s="246">
        <v>15000000</v>
      </c>
      <c r="G51" s="73">
        <f>AVERAGE(E51:F51)</f>
        <v>16000000</v>
      </c>
      <c r="H51" s="74">
        <f>G51</f>
        <v>16000000</v>
      </c>
      <c r="I51" s="73"/>
      <c r="J51" s="74">
        <f>G51</f>
        <v>16000000</v>
      </c>
      <c r="K51" s="128"/>
      <c r="L51" s="238">
        <v>10000000</v>
      </c>
      <c r="M51" s="303">
        <v>8000000</v>
      </c>
      <c r="N51" s="119">
        <f>L51</f>
        <v>10000000</v>
      </c>
      <c r="O51" s="172">
        <f>M51</f>
        <v>8000000</v>
      </c>
      <c r="P51" s="119">
        <f>L51</f>
        <v>10000000</v>
      </c>
      <c r="Q51" s="172">
        <f>M51</f>
        <v>8000000</v>
      </c>
      <c r="R51" s="73">
        <f>AVERAGE(L51:M51)</f>
        <v>9000000</v>
      </c>
      <c r="S51" s="73"/>
      <c r="T51" s="73">
        <f>AVERAGE(N51:O51)</f>
        <v>9000000</v>
      </c>
      <c r="U51" s="163"/>
      <c r="V51" s="163">
        <f>AVERAGE(P51:Q51)</f>
        <v>9000000</v>
      </c>
    </row>
    <row r="52" spans="1:22" ht="15.75" thickBot="1" x14ac:dyDescent="0.3">
      <c r="B52" s="107" t="s">
        <v>115</v>
      </c>
      <c r="C52" s="108" t="s">
        <v>116</v>
      </c>
      <c r="D52" s="321" t="s">
        <v>80</v>
      </c>
      <c r="E52" s="247">
        <v>15000000</v>
      </c>
      <c r="F52" s="248">
        <v>16000000</v>
      </c>
      <c r="G52" s="108">
        <f t="shared" ref="G52:G54" si="12">AVERAGE(E52:F52)</f>
        <v>15500000</v>
      </c>
      <c r="H52" s="109">
        <f>G52</f>
        <v>15500000</v>
      </c>
      <c r="I52" s="108"/>
      <c r="J52" s="109">
        <f>G52</f>
        <v>15500000</v>
      </c>
      <c r="L52" s="107"/>
      <c r="M52" s="164"/>
      <c r="N52" s="107"/>
      <c r="O52" s="164"/>
      <c r="P52" s="107"/>
      <c r="Q52" s="164"/>
      <c r="R52" s="108">
        <f>$J52*(1+R$49)</f>
        <v>10759325</v>
      </c>
      <c r="S52" s="108"/>
      <c r="T52" s="108">
        <f t="shared" ref="T52:V52" si="13">$J52*(1+T$49)</f>
        <v>10672525</v>
      </c>
      <c r="U52" s="164"/>
      <c r="V52" s="164">
        <f t="shared" si="13"/>
        <v>10672525</v>
      </c>
    </row>
    <row r="53" spans="1:22" ht="15.75" thickBot="1" x14ac:dyDescent="0.3">
      <c r="B53" s="160" t="s">
        <v>18</v>
      </c>
      <c r="C53" s="161" t="s">
        <v>87</v>
      </c>
      <c r="D53" s="161" t="s">
        <v>137</v>
      </c>
      <c r="E53" s="251">
        <f>SUM(E51,E52)</f>
        <v>32000000</v>
      </c>
      <c r="F53" s="251">
        <f>SUM(F51,F52)</f>
        <v>31000000</v>
      </c>
      <c r="G53" s="251">
        <f>SUM(G51,G52)</f>
        <v>31500000</v>
      </c>
      <c r="H53" s="70">
        <f>SUM(H51,H52)</f>
        <v>31500000</v>
      </c>
      <c r="I53" s="161"/>
      <c r="J53" s="70">
        <f>SUM(J51,J52)</f>
        <v>31500000</v>
      </c>
      <c r="L53" s="160"/>
      <c r="M53" s="165"/>
      <c r="N53" s="160"/>
      <c r="O53" s="165"/>
      <c r="P53" s="160"/>
      <c r="Q53" s="165"/>
      <c r="R53" s="161">
        <f>SUM(R51,R52)</f>
        <v>19759325</v>
      </c>
      <c r="S53" s="161"/>
      <c r="T53" s="161">
        <f>SUM(T51,T52)</f>
        <v>19672525</v>
      </c>
      <c r="U53" s="165"/>
      <c r="V53" s="165">
        <f>SUM(V51,V52)</f>
        <v>19672525</v>
      </c>
    </row>
    <row r="54" spans="1:22" ht="15.75" thickBot="1" x14ac:dyDescent="0.3">
      <c r="B54" s="45" t="s">
        <v>25</v>
      </c>
      <c r="C54" s="162" t="s">
        <v>88</v>
      </c>
      <c r="D54" s="162"/>
      <c r="E54" s="249">
        <v>10000000</v>
      </c>
      <c r="F54" s="250">
        <v>10000000</v>
      </c>
      <c r="G54" s="162">
        <f t="shared" si="12"/>
        <v>10000000</v>
      </c>
      <c r="H54" s="70">
        <f>G54</f>
        <v>10000000</v>
      </c>
      <c r="I54" s="162"/>
      <c r="J54" s="46">
        <f>G54</f>
        <v>10000000</v>
      </c>
      <c r="L54" s="45"/>
      <c r="M54" s="166"/>
      <c r="N54" s="45"/>
      <c r="O54" s="166"/>
      <c r="P54" s="45"/>
      <c r="Q54" s="166"/>
      <c r="R54" s="162">
        <f>$J54*(1+R$49)</f>
        <v>6941500</v>
      </c>
      <c r="S54" s="162"/>
      <c r="T54" s="162">
        <f t="shared" ref="T54:V54" si="14">$J54*(1+T$49)</f>
        <v>6885500</v>
      </c>
      <c r="U54" s="166"/>
      <c r="V54" s="166">
        <f t="shared" si="14"/>
        <v>6885500</v>
      </c>
    </row>
    <row r="55" spans="1:22" ht="18.75" x14ac:dyDescent="0.3">
      <c r="B55" s="191" t="s">
        <v>27</v>
      </c>
      <c r="C55" s="192" t="s">
        <v>89</v>
      </c>
      <c r="D55" s="192" t="s">
        <v>90</v>
      </c>
      <c r="E55" s="192"/>
      <c r="F55" s="192"/>
      <c r="G55" s="192"/>
      <c r="H55" s="192">
        <f>H48-H53-H54</f>
        <v>54700000</v>
      </c>
      <c r="I55" s="192"/>
      <c r="J55" s="194">
        <f>J48-J53-J54</f>
        <v>64500000</v>
      </c>
      <c r="K55" s="193"/>
      <c r="L55" s="191"/>
      <c r="M55" s="194"/>
      <c r="N55" s="191"/>
      <c r="O55" s="194"/>
      <c r="P55" s="191"/>
      <c r="Q55" s="194"/>
      <c r="R55" s="192">
        <f>R48-R53-R54</f>
        <v>46879075</v>
      </c>
      <c r="S55" s="192"/>
      <c r="T55" s="192">
        <f>T48-T53-T54</f>
        <v>46428275</v>
      </c>
      <c r="U55" s="194"/>
      <c r="V55" s="194">
        <f>V48-V53-V54</f>
        <v>46428275</v>
      </c>
    </row>
    <row r="56" spans="1:22" ht="15.75" thickBot="1" x14ac:dyDescent="0.3">
      <c r="B56" s="195"/>
      <c r="C56" s="153" t="s">
        <v>117</v>
      </c>
      <c r="D56" s="103"/>
      <c r="E56" s="104"/>
      <c r="F56" s="153"/>
      <c r="G56" s="153"/>
      <c r="H56" s="167"/>
      <c r="I56" s="153"/>
      <c r="J56" s="196"/>
      <c r="K56" s="13"/>
      <c r="L56" s="195"/>
      <c r="M56" s="196"/>
      <c r="N56" s="195"/>
      <c r="O56" s="196"/>
      <c r="P56" s="195"/>
      <c r="Q56" s="196"/>
      <c r="R56" s="167">
        <f>IFERROR(R55/$J55-1,0)</f>
        <v>-0.27319263565891472</v>
      </c>
      <c r="S56" s="167"/>
      <c r="T56" s="167">
        <f>IFERROR(T55/$J55-1,0)</f>
        <v>-0.28018178294573648</v>
      </c>
      <c r="U56" s="168"/>
      <c r="V56" s="168">
        <f>IFERROR(V55/$J55-1,0)</f>
        <v>-0.28018178294573648</v>
      </c>
    </row>
    <row r="58" spans="1:22" ht="19.5" thickBot="1" x14ac:dyDescent="0.3">
      <c r="A58" s="34" t="s">
        <v>91</v>
      </c>
      <c r="B58" s="20"/>
      <c r="C58" s="24"/>
      <c r="D58" s="31"/>
      <c r="E58" s="32"/>
      <c r="F58" s="12"/>
      <c r="G58" s="12"/>
      <c r="H58" s="33"/>
      <c r="I58" s="12"/>
      <c r="J58" s="12"/>
    </row>
    <row r="59" spans="1:22" x14ac:dyDescent="0.25">
      <c r="B59" s="99"/>
      <c r="C59" s="100" t="s">
        <v>118</v>
      </c>
      <c r="D59" s="97"/>
      <c r="E59" s="60"/>
      <c r="F59" s="60"/>
      <c r="G59" s="16"/>
      <c r="H59" s="60"/>
      <c r="I59" s="60"/>
      <c r="J59" s="105">
        <f>IFERROR((J21+J27)/J39,0)</f>
        <v>0.58799999999999997</v>
      </c>
      <c r="R59" s="170">
        <f>IFERROR((R21+R27)/R39,0)</f>
        <v>0.57552402218540666</v>
      </c>
      <c r="S59" s="158"/>
      <c r="T59" s="158">
        <f>IFERROR((T21+T27)/T39,0)</f>
        <v>0.57570256335778081</v>
      </c>
      <c r="U59" s="159"/>
      <c r="V59" s="159">
        <f>IFERROR((V21+V27)/V39,0)</f>
        <v>0.57570256335778081</v>
      </c>
    </row>
    <row r="60" spans="1:22" ht="15.75" thickBot="1" x14ac:dyDescent="0.3">
      <c r="B60" s="101"/>
      <c r="C60" s="102" t="s">
        <v>119</v>
      </c>
      <c r="D60" s="103"/>
      <c r="E60" s="104"/>
      <c r="F60" s="104"/>
      <c r="G60" s="19"/>
      <c r="H60" s="104"/>
      <c r="I60" s="104"/>
      <c r="J60" s="106">
        <f>1-J59</f>
        <v>0.41200000000000003</v>
      </c>
      <c r="R60" s="169">
        <f>1-R59</f>
        <v>0.42447597781459334</v>
      </c>
      <c r="S60" s="151"/>
      <c r="T60" s="151">
        <f>1-T59</f>
        <v>0.42429743664221919</v>
      </c>
      <c r="U60" s="152"/>
      <c r="V60" s="152">
        <f>1-V59</f>
        <v>0.42429743664221919</v>
      </c>
    </row>
    <row r="61" spans="1:22" ht="15.75" thickBot="1" x14ac:dyDescent="0.3">
      <c r="A61" s="20"/>
      <c r="B61" s="119" t="s">
        <v>28</v>
      </c>
      <c r="C61" s="120" t="s">
        <v>92</v>
      </c>
      <c r="D61" s="120"/>
      <c r="E61" s="120"/>
      <c r="F61" s="120"/>
      <c r="G61" s="120" t="str">
        <f>CONCATENATE("I. * ",Parameter!B5)</f>
        <v>I. * 0,4</v>
      </c>
      <c r="H61" s="120"/>
      <c r="I61" s="120"/>
      <c r="J61" s="121">
        <f>J48*Parameter!$B$5</f>
        <v>42400000</v>
      </c>
      <c r="R61" s="119">
        <f>R48*Parameter!$B$5</f>
        <v>29431960</v>
      </c>
      <c r="S61" s="120"/>
      <c r="T61" s="120">
        <f>T48*Parameter!$B$5</f>
        <v>29194520</v>
      </c>
      <c r="U61" s="172"/>
      <c r="V61" s="172">
        <f>V48*Parameter!$B$5</f>
        <v>29194520</v>
      </c>
    </row>
    <row r="62" spans="1:22" x14ac:dyDescent="0.25">
      <c r="A62" s="20"/>
      <c r="B62" s="110" t="s">
        <v>26</v>
      </c>
      <c r="C62" s="111" t="s">
        <v>93</v>
      </c>
      <c r="D62" s="111"/>
      <c r="E62" s="111"/>
      <c r="F62" s="111"/>
      <c r="G62" s="111" t="s">
        <v>94</v>
      </c>
      <c r="H62" s="111"/>
      <c r="I62" s="111"/>
      <c r="J62" s="112">
        <f>MIN(J61,J55)*(J59)</f>
        <v>24931200</v>
      </c>
      <c r="R62" s="110">
        <f>MIN(R61,R55)*(R59)</f>
        <v>16938800</v>
      </c>
      <c r="S62" s="111"/>
      <c r="T62" s="111">
        <f>MIN(T61,T55)*(T59)</f>
        <v>16807360</v>
      </c>
      <c r="U62" s="173"/>
      <c r="V62" s="173">
        <f>MIN(V61,V55)*(V59)</f>
        <v>16807360</v>
      </c>
    </row>
    <row r="63" spans="1:22" ht="15.75" thickBot="1" x14ac:dyDescent="0.3">
      <c r="A63" s="22"/>
      <c r="B63" s="113" t="s">
        <v>95</v>
      </c>
      <c r="C63" s="114" t="s">
        <v>96</v>
      </c>
      <c r="D63" s="114"/>
      <c r="E63" s="114"/>
      <c r="F63" s="114"/>
      <c r="G63" s="114" t="s">
        <v>97</v>
      </c>
      <c r="H63" s="114"/>
      <c r="I63" s="114"/>
      <c r="J63" s="115">
        <f>MIN(J61,J55)-J62</f>
        <v>17468800</v>
      </c>
      <c r="R63" s="113">
        <f>MIN(R61,R55)-R62</f>
        <v>12493160</v>
      </c>
      <c r="S63" s="114"/>
      <c r="T63" s="114">
        <f>MIN(T61,T55)-T62</f>
        <v>12387160</v>
      </c>
      <c r="U63" s="174"/>
      <c r="V63" s="174">
        <f>MIN(V61,V55)-V62</f>
        <v>12387160</v>
      </c>
    </row>
    <row r="64" spans="1:22" ht="15.75" thickBot="1" x14ac:dyDescent="0.3">
      <c r="A64" s="20"/>
      <c r="B64" s="116" t="s">
        <v>98</v>
      </c>
      <c r="C64" s="117" t="s">
        <v>99</v>
      </c>
      <c r="D64" s="117"/>
      <c r="E64" s="117"/>
      <c r="F64" s="117"/>
      <c r="G64" s="117" t="s">
        <v>136</v>
      </c>
      <c r="H64" s="117"/>
      <c r="I64" s="117"/>
      <c r="J64" s="118">
        <f>J55-J62-J63</f>
        <v>22100000</v>
      </c>
      <c r="R64" s="116">
        <f>R55-R62-R63</f>
        <v>17447115</v>
      </c>
      <c r="S64" s="117"/>
      <c r="T64" s="117">
        <f>T55-T62-T63</f>
        <v>17233755</v>
      </c>
      <c r="U64" s="175"/>
      <c r="V64" s="175">
        <f>V55-V62-V63</f>
        <v>17233755</v>
      </c>
    </row>
    <row r="65" spans="1:22" ht="15.75" thickBot="1" x14ac:dyDescent="0.3">
      <c r="A65" s="20"/>
      <c r="B65" s="98"/>
      <c r="C65" s="24"/>
      <c r="D65" s="52"/>
      <c r="E65" s="32"/>
      <c r="F65" s="32"/>
      <c r="G65" s="29"/>
      <c r="H65" s="35"/>
      <c r="I65" s="29"/>
      <c r="J65" s="28"/>
      <c r="R65" s="185"/>
      <c r="S65" s="27"/>
      <c r="T65" s="27"/>
      <c r="U65" s="176"/>
      <c r="V65" s="176"/>
    </row>
    <row r="66" spans="1:22" x14ac:dyDescent="0.25">
      <c r="A66" s="22"/>
      <c r="B66" s="72" t="s">
        <v>29</v>
      </c>
      <c r="C66" s="73" t="s">
        <v>100</v>
      </c>
      <c r="D66" s="73"/>
      <c r="E66" s="73"/>
      <c r="F66" s="73"/>
      <c r="G66" s="73"/>
      <c r="H66" s="124">
        <f>IF(J55&lt;0,Parameter!B7,Parameter!B6)</f>
        <v>3.5099999999999999E-2</v>
      </c>
      <c r="I66" s="73"/>
      <c r="J66" s="74">
        <f>J62*H66</f>
        <v>875085.12</v>
      </c>
      <c r="R66" s="72">
        <f>R62*$H$66</f>
        <v>594551.88</v>
      </c>
      <c r="S66" s="73"/>
      <c r="T66" s="73">
        <f>T62*$H$66</f>
        <v>589938.33600000001</v>
      </c>
      <c r="U66" s="163"/>
      <c r="V66" s="163">
        <f>V62*$H$66</f>
        <v>589938.33600000001</v>
      </c>
    </row>
    <row r="67" spans="1:22" x14ac:dyDescent="0.25">
      <c r="A67" s="22"/>
      <c r="B67" s="85" t="s">
        <v>101</v>
      </c>
      <c r="C67" s="86" t="s">
        <v>102</v>
      </c>
      <c r="D67" s="86"/>
      <c r="E67" s="86"/>
      <c r="F67" s="86"/>
      <c r="G67" s="86"/>
      <c r="H67" s="125">
        <f>Parameter!B7</f>
        <v>5.0700000000000002E-2</v>
      </c>
      <c r="I67" s="86"/>
      <c r="J67" s="87">
        <f>J63*H67</f>
        <v>885668.16</v>
      </c>
      <c r="R67" s="85">
        <f>R63*$H$67</f>
        <v>633403.21200000006</v>
      </c>
      <c r="S67" s="86"/>
      <c r="T67" s="86">
        <f>T63*$H$67</f>
        <v>628029.01199999999</v>
      </c>
      <c r="U67" s="145"/>
      <c r="V67" s="145">
        <f>V63*$H$67</f>
        <v>628029.01199999999</v>
      </c>
    </row>
    <row r="68" spans="1:22" ht="15.75" thickBot="1" x14ac:dyDescent="0.3">
      <c r="A68" s="22"/>
      <c r="B68" s="107" t="s">
        <v>103</v>
      </c>
      <c r="C68" s="108" t="s">
        <v>104</v>
      </c>
      <c r="D68" s="108"/>
      <c r="E68" s="108"/>
      <c r="F68" s="108"/>
      <c r="G68" s="108"/>
      <c r="H68" s="126">
        <f>Parameter!B8</f>
        <v>2.0299999999999999E-2</v>
      </c>
      <c r="I68" s="108"/>
      <c r="J68" s="109">
        <f>J64*H68</f>
        <v>448629.99999999994</v>
      </c>
      <c r="L68" s="51"/>
      <c r="M68" s="51"/>
      <c r="N68" s="51"/>
      <c r="O68" s="51"/>
      <c r="P68" s="51"/>
      <c r="Q68" s="51"/>
      <c r="R68" s="107">
        <f>R64*$H$68</f>
        <v>354176.43449999997</v>
      </c>
      <c r="S68" s="108"/>
      <c r="T68" s="108">
        <f>T64*$H$68</f>
        <v>349845.22649999999</v>
      </c>
      <c r="U68" s="164"/>
      <c r="V68" s="164">
        <f>V64*$H$68</f>
        <v>349845.22649999999</v>
      </c>
    </row>
    <row r="69" spans="1:22" ht="19.5" thickBot="1" x14ac:dyDescent="0.35">
      <c r="A69" s="22"/>
      <c r="B69" s="180" t="s">
        <v>30</v>
      </c>
      <c r="C69" s="181" t="s">
        <v>105</v>
      </c>
      <c r="D69" s="181"/>
      <c r="E69" s="181"/>
      <c r="F69" s="181"/>
      <c r="G69" s="181"/>
      <c r="H69" s="181"/>
      <c r="I69" s="181"/>
      <c r="J69" s="184">
        <f>SUM(J66:J68)</f>
        <v>2209383.2799999998</v>
      </c>
      <c r="K69" s="183"/>
      <c r="L69" s="51"/>
      <c r="M69" s="51"/>
      <c r="N69" s="51"/>
      <c r="O69" s="51"/>
      <c r="P69" s="51"/>
      <c r="Q69" s="51"/>
      <c r="R69" s="191">
        <f>SUM(R66:R68)</f>
        <v>1582131.5265000002</v>
      </c>
      <c r="S69" s="192"/>
      <c r="T69" s="192">
        <f>SUM(T66:T68)</f>
        <v>1567812.5745000001</v>
      </c>
      <c r="U69" s="194"/>
      <c r="V69" s="194">
        <f>SUM(V66:V68)</f>
        <v>1567812.5745000001</v>
      </c>
    </row>
    <row r="70" spans="1:22" ht="15.75" thickBot="1" x14ac:dyDescent="0.3">
      <c r="A70" s="22"/>
      <c r="B70" s="101"/>
      <c r="C70" s="122" t="s">
        <v>120</v>
      </c>
      <c r="D70" s="103"/>
      <c r="E70" s="150"/>
      <c r="F70" s="150"/>
      <c r="G70" s="150"/>
      <c r="H70" s="150"/>
      <c r="I70" s="150"/>
      <c r="J70" s="197"/>
      <c r="L70" s="51"/>
      <c r="M70" s="51"/>
      <c r="N70" s="51"/>
      <c r="O70" s="51"/>
      <c r="P70" s="51"/>
      <c r="Q70" s="51"/>
      <c r="R70" s="244">
        <f>IFERROR(R69/$J69-1,0)</f>
        <v>-0.28390354864095813</v>
      </c>
      <c r="S70" s="167"/>
      <c r="T70" s="167">
        <f>IFERROR(T69/$J69-1,0)</f>
        <v>-0.29038452101438905</v>
      </c>
      <c r="U70" s="168"/>
      <c r="V70" s="168">
        <f>IFERROR(V69/$J69-1,0)</f>
        <v>-0.29038452101438905</v>
      </c>
    </row>
    <row r="71" spans="1:22" x14ac:dyDescent="0.25">
      <c r="L71" s="51"/>
      <c r="M71" s="51"/>
      <c r="N71" s="51"/>
      <c r="O71" s="51"/>
      <c r="P71" s="51"/>
      <c r="Q71" s="51"/>
    </row>
    <row r="72" spans="1:22" ht="19.5" thickBot="1" x14ac:dyDescent="0.3">
      <c r="A72" s="34" t="s">
        <v>106</v>
      </c>
      <c r="B72" s="22"/>
      <c r="C72" s="36"/>
      <c r="D72" s="36"/>
      <c r="E72" s="36"/>
      <c r="F72" s="29"/>
      <c r="G72" s="36"/>
      <c r="H72" s="29"/>
      <c r="I72" s="22"/>
      <c r="J72" s="22"/>
    </row>
    <row r="73" spans="1:22" ht="18.75" x14ac:dyDescent="0.25">
      <c r="A73" s="22"/>
      <c r="B73" s="187" t="s">
        <v>31</v>
      </c>
      <c r="C73" s="188" t="s">
        <v>2</v>
      </c>
      <c r="D73" s="188"/>
      <c r="E73" s="236">
        <v>3.8218000000000001</v>
      </c>
      <c r="F73" s="188"/>
      <c r="G73" s="188"/>
      <c r="H73" s="190">
        <f>E73*Parameter!B10</f>
        <v>0.13376300000000002</v>
      </c>
      <c r="I73" s="188"/>
      <c r="J73" s="283">
        <f>J69*H73</f>
        <v>295533.73568263999</v>
      </c>
      <c r="R73" s="187">
        <f>R69*$H$73</f>
        <v>211630.65937921955</v>
      </c>
      <c r="S73" s="188"/>
      <c r="T73" s="188">
        <f>T69*$H$73</f>
        <v>209715.31340284355</v>
      </c>
      <c r="U73" s="189"/>
      <c r="V73" s="189">
        <f>V69*$H$73</f>
        <v>209715.31340284355</v>
      </c>
    </row>
    <row r="74" spans="1:22" ht="15.75" thickBot="1" x14ac:dyDescent="0.3">
      <c r="B74" s="101"/>
      <c r="C74" s="122" t="s">
        <v>121</v>
      </c>
      <c r="D74" s="103"/>
      <c r="E74" s="104"/>
      <c r="F74" s="104"/>
      <c r="G74" s="19"/>
      <c r="H74" s="104"/>
      <c r="I74" s="104"/>
      <c r="J74" s="284"/>
      <c r="R74" s="169">
        <f>IFERROR(R73/$J73-1,0)</f>
        <v>-0.28390354864095813</v>
      </c>
      <c r="S74" s="151"/>
      <c r="T74" s="151">
        <f>IFERROR(T73/$J73-1,0)</f>
        <v>-0.29038452101438894</v>
      </c>
      <c r="U74" s="152"/>
      <c r="V74" s="152">
        <f>IFERROR(V73/$J73-1,0)</f>
        <v>-0.29038452101438894</v>
      </c>
    </row>
    <row r="76" spans="1:22" ht="19.5" thickBot="1" x14ac:dyDescent="0.3">
      <c r="A76" s="34" t="s">
        <v>132</v>
      </c>
    </row>
    <row r="77" spans="1:22" x14ac:dyDescent="0.25">
      <c r="B77" s="198"/>
      <c r="C77" s="199" t="s">
        <v>47</v>
      </c>
      <c r="D77" s="200"/>
      <c r="E77" s="201"/>
      <c r="F77" s="201"/>
      <c r="G77" s="202"/>
      <c r="H77" s="201"/>
      <c r="I77" s="201"/>
      <c r="J77" s="285">
        <v>300000</v>
      </c>
      <c r="K77" s="139"/>
      <c r="L77" s="135"/>
      <c r="M77" s="135"/>
      <c r="N77" s="135"/>
      <c r="O77" s="135"/>
      <c r="P77" s="135"/>
      <c r="Q77" s="141"/>
      <c r="R77" s="204">
        <f>$J$77*(1+R49)</f>
        <v>208245</v>
      </c>
      <c r="S77" s="205"/>
      <c r="T77" s="205">
        <f>$J$77*(1+T49)</f>
        <v>206565</v>
      </c>
      <c r="U77" s="203"/>
      <c r="V77" s="203">
        <f>$J$77*(1+V49)</f>
        <v>206565</v>
      </c>
    </row>
    <row r="78" spans="1:22" ht="15.75" thickBot="1" x14ac:dyDescent="0.3">
      <c r="B78" s="101"/>
      <c r="C78" s="122" t="s">
        <v>122</v>
      </c>
      <c r="D78" s="19"/>
      <c r="E78" s="104"/>
      <c r="F78" s="104"/>
      <c r="G78" s="19"/>
      <c r="H78" s="104"/>
      <c r="I78" s="104"/>
      <c r="J78" s="284"/>
      <c r="K78" s="171"/>
      <c r="L78" s="13"/>
      <c r="M78" s="13"/>
      <c r="N78" s="13"/>
      <c r="O78" s="13"/>
      <c r="P78" s="13"/>
      <c r="Q78" s="186"/>
      <c r="R78" s="169">
        <f>IFERROR(R77/$J77-1,0)</f>
        <v>-0.30584999999999996</v>
      </c>
      <c r="S78" s="151"/>
      <c r="T78" s="151">
        <f>IFERROR(T77/$J77-1,0)</f>
        <v>-0.31145</v>
      </c>
      <c r="U78" s="152"/>
      <c r="V78" s="152">
        <f>IFERROR(V77/$J77-1,0)</f>
        <v>-0.31145</v>
      </c>
    </row>
    <row r="80" spans="1:22" ht="19.5" thickBot="1" x14ac:dyDescent="0.35">
      <c r="A80" s="123" t="s">
        <v>135</v>
      </c>
    </row>
    <row r="81" spans="2:22" x14ac:dyDescent="0.25">
      <c r="B81" s="206"/>
      <c r="C81" s="207" t="s">
        <v>123</v>
      </c>
      <c r="D81" s="208"/>
      <c r="E81" s="209"/>
      <c r="F81" s="209"/>
      <c r="G81" s="210"/>
      <c r="H81" s="306">
        <f>(J69+J77)/J48</f>
        <v>2.3673427169811318E-2</v>
      </c>
      <c r="I81" s="209"/>
      <c r="J81" s="286">
        <f>J14+J69+J73+J77</f>
        <v>9614917.0156826396</v>
      </c>
      <c r="R81" s="213">
        <f>R14+R69+R73+R77</f>
        <v>7122007.1858792193</v>
      </c>
      <c r="S81" s="212"/>
      <c r="T81" s="212">
        <f>T14+T69+T73+T77</f>
        <v>8224092.8879028438</v>
      </c>
      <c r="U81" s="211"/>
      <c r="V81" s="211">
        <f>V14+V69+V73+V77</f>
        <v>8224092.8879028438</v>
      </c>
    </row>
    <row r="82" spans="2:22" x14ac:dyDescent="0.25">
      <c r="B82" s="98"/>
      <c r="C82" s="24" t="s">
        <v>124</v>
      </c>
      <c r="D82" s="52"/>
      <c r="E82" s="32"/>
      <c r="F82" s="32"/>
      <c r="G82" s="13"/>
      <c r="H82" s="32"/>
      <c r="I82" s="32"/>
      <c r="J82" s="287"/>
      <c r="R82" s="214">
        <f>$J$81-R81</f>
        <v>2492909.8298034202</v>
      </c>
      <c r="S82" s="215"/>
      <c r="T82" s="215">
        <f>$J$81-T81</f>
        <v>1390824.1277797958</v>
      </c>
      <c r="U82" s="216"/>
      <c r="V82" s="216">
        <f>$J$81-V81</f>
        <v>1390824.1277797958</v>
      </c>
    </row>
    <row r="83" spans="2:22" ht="15.75" thickBot="1" x14ac:dyDescent="0.3">
      <c r="B83" s="101"/>
      <c r="C83" s="122" t="s">
        <v>145</v>
      </c>
      <c r="D83" s="103"/>
      <c r="E83" s="104"/>
      <c r="F83" s="104"/>
      <c r="G83" s="19"/>
      <c r="H83" s="104"/>
      <c r="I83" s="104"/>
      <c r="J83" s="284"/>
      <c r="R83" s="169">
        <f>IFERROR(R81/$J81-1,0)</f>
        <v>-0.25927523094971072</v>
      </c>
      <c r="S83" s="151"/>
      <c r="T83" s="151">
        <f>IFERROR(T81/$J81-1,0)</f>
        <v>-0.14465274380540771</v>
      </c>
      <c r="U83" s="152"/>
      <c r="V83" s="152">
        <f>IFERROR(V81/$J81-1,0)</f>
        <v>-0.14465274380540771</v>
      </c>
    </row>
    <row r="85" spans="2:22" ht="19.5" thickBot="1" x14ac:dyDescent="0.35">
      <c r="R85" s="123" t="s">
        <v>146</v>
      </c>
    </row>
    <row r="86" spans="2:22" ht="15.75" thickBot="1" x14ac:dyDescent="0.3">
      <c r="R86" s="307"/>
      <c r="S86" s="308"/>
      <c r="T86" s="309">
        <f>R82-T82</f>
        <v>1102085.7020236244</v>
      </c>
      <c r="U86" s="453"/>
      <c r="V86" s="310">
        <f>R82-V82</f>
        <v>1102085.7020236244</v>
      </c>
    </row>
  </sheetData>
  <sheetProtection formatCells="0" formatColumns="0" formatRows="0" insertHyperlinks="0" sort="0" autoFilter="0" pivotTables="0"/>
  <mergeCells count="3">
    <mergeCell ref="L4:M4"/>
    <mergeCell ref="N4:O4"/>
    <mergeCell ref="P4:Q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Tabelle8"/>
  <dimension ref="A1:K17"/>
  <sheetViews>
    <sheetView workbookViewId="0">
      <selection activeCell="B8" sqref="B8"/>
    </sheetView>
  </sheetViews>
  <sheetFormatPr baseColWidth="10" defaultRowHeight="12.75" x14ac:dyDescent="0.2"/>
  <cols>
    <col min="1" max="1" customWidth="true" width="30.140625"/>
  </cols>
  <sheetData>
    <row r="1" spans="1:11" x14ac:dyDescent="0.2">
      <c r="A1" s="4" t="s">
        <v>0</v>
      </c>
      <c r="B1" s="4" t="s">
        <v>46</v>
      </c>
      <c r="E1" s="4" t="s">
        <v>138</v>
      </c>
    </row>
    <row r="2" spans="1:11" ht="15" x14ac:dyDescent="0.25">
      <c r="A2" s="4" t="s">
        <v>49</v>
      </c>
      <c r="B2" s="8">
        <v>0</v>
      </c>
      <c r="E2" s="447">
        <v>2026</v>
      </c>
      <c r="H2" s="51"/>
      <c r="I2" s="51"/>
      <c r="J2" s="51"/>
      <c r="K2" s="51"/>
    </row>
    <row r="3" spans="1:11" ht="15" x14ac:dyDescent="0.25">
      <c r="A3" s="4" t="s">
        <v>50</v>
      </c>
      <c r="B3" s="8">
        <v>0.4</v>
      </c>
      <c r="H3" s="51"/>
      <c r="I3" s="51"/>
      <c r="J3" s="51"/>
      <c r="K3" s="51"/>
    </row>
    <row r="4" spans="1:11" x14ac:dyDescent="0.2">
      <c r="A4" s="4" t="s">
        <v>51</v>
      </c>
      <c r="B4" s="6"/>
      <c r="H4" s="51"/>
      <c r="I4" s="51"/>
      <c r="J4" s="51"/>
      <c r="K4" s="51"/>
    </row>
    <row r="5" spans="1:11" ht="15" x14ac:dyDescent="0.25">
      <c r="A5" s="4" t="s">
        <v>52</v>
      </c>
      <c r="B5" s="8">
        <v>0.4</v>
      </c>
      <c r="H5" s="51"/>
      <c r="I5" s="51"/>
      <c r="J5" s="51"/>
      <c r="K5" s="51"/>
    </row>
    <row r="6" spans="1:11" ht="15" x14ac:dyDescent="0.25">
      <c r="A6" s="6" t="s">
        <v>53</v>
      </c>
      <c r="B6" s="9">
        <v>3.5099999999999999E-2</v>
      </c>
      <c r="H6" s="51"/>
      <c r="I6" s="51"/>
      <c r="J6" s="51"/>
      <c r="K6" s="51"/>
    </row>
    <row r="7" spans="1:11" ht="15" x14ac:dyDescent="0.25">
      <c r="A7" s="6" t="s">
        <v>54</v>
      </c>
      <c r="B7" s="9">
        <v>5.0700000000000002E-2</v>
      </c>
      <c r="H7" s="51"/>
      <c r="I7" s="51"/>
      <c r="J7" s="51"/>
      <c r="K7" s="51"/>
    </row>
    <row r="8" spans="1:11" ht="15" x14ac:dyDescent="0.25">
      <c r="A8" s="6" t="s">
        <v>55</v>
      </c>
      <c r="B8" s="9">
        <v>2.0299999999999999E-2</v>
      </c>
    </row>
    <row r="9" spans="1:11" ht="15" x14ac:dyDescent="0.25">
      <c r="A9" s="6" t="s">
        <v>56</v>
      </c>
      <c r="B9" s="8">
        <v>4.03</v>
      </c>
    </row>
    <row r="10" spans="1:11" ht="15" x14ac:dyDescent="0.25">
      <c r="A10" s="6" t="s">
        <v>57</v>
      </c>
      <c r="B10" s="10">
        <v>3.5000000000000003E-2</v>
      </c>
    </row>
    <row r="11" spans="1:11" ht="15" x14ac:dyDescent="0.25">
      <c r="A11" s="4" t="s">
        <v>194</v>
      </c>
      <c r="B11" s="448">
        <v>5</v>
      </c>
    </row>
    <row r="13" spans="1:11" x14ac:dyDescent="0.2">
      <c r="A13" s="51"/>
      <c r="B13" s="51"/>
      <c r="C13" s="51"/>
      <c r="D13" s="51"/>
    </row>
    <row r="14" spans="1:11" x14ac:dyDescent="0.2">
      <c r="A14" s="51"/>
      <c r="B14" s="51"/>
      <c r="C14" s="51"/>
      <c r="D14" s="51"/>
    </row>
    <row r="15" spans="1:11" x14ac:dyDescent="0.2">
      <c r="A15" s="51"/>
      <c r="B15" s="51"/>
      <c r="C15" s="51"/>
      <c r="D15" s="51"/>
    </row>
    <row r="16" spans="1:11" x14ac:dyDescent="0.2">
      <c r="A16" s="51"/>
      <c r="B16" s="51"/>
      <c r="C16" s="51"/>
      <c r="D16" s="51"/>
    </row>
    <row r="17" spans="1:4" x14ac:dyDescent="0.2">
      <c r="A17" s="51"/>
      <c r="B17" s="51"/>
      <c r="C17" s="51"/>
      <c r="D17" s="51"/>
    </row>
  </sheetData>
  <sheetProtection algorithmName="SHA-512" hashValue="/HiRC6TMM/mrrintBeTWatjc9Iq0dDG1yZkYHD74wtvir7ZCr8fx7vraMw/lxhgzngsCj9C3RQPgN3ogvzRqlg==" saltValue="eJESxAfvt6wRoaxrt/S28w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no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ust_x00e4_ndigkeit xmlns="caa283c9-bc41-4a9e-8b5d-f0b73fe6aae9" xsi:nil="true"/>
    <Zugriffsrechte xmlns="caa283c9-bc41-4a9e-8b5d-f0b73fe6aae9" xsi:nil="true"/>
    <Ratings xmlns="http://schemas.microsoft.com/sharepoint/v3" xsi:nil="true"/>
    <Kommentar xmlns="caa283c9-bc41-4a9e-8b5d-f0b73fe6aae9" xsi:nil="true"/>
    <LikedBy xmlns="http://schemas.microsoft.com/sharepoint/v3">
      <UserInfo>
        <DisplayName/>
        <AccountId xsi:nil="true"/>
        <AccountType/>
      </UserInfo>
    </LikedBy>
    <RatedBy xmlns="http://schemas.microsoft.com/sharepoint/v3">
      <UserInfo>
        <DisplayName/>
        <AccountId xsi:nil="true"/>
        <AccountType/>
      </UserInfo>
    </RatedBy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115F60347C94649B1FE7A54F6552C0A" ma:contentTypeVersion="21" ma:contentTypeDescription="Ein neues Dokument erstellen." ma:contentTypeScope="" ma:versionID="3711faab5c226e0fc1ca663bfaa1796e">
  <xsd:schema xmlns:xsd="http://www.w3.org/2001/XMLSchema" xmlns:xs="http://www.w3.org/2001/XMLSchema" xmlns:p="http://schemas.microsoft.com/office/2006/metadata/properties" xmlns:ns1="http://schemas.microsoft.com/sharepoint/v3" xmlns:ns2="caa283c9-bc41-4a9e-8b5d-f0b73fe6aae9" xmlns:ns3="319c933f-1294-4168-a21c-184a2d4a8b28" targetNamespace="http://schemas.microsoft.com/office/2006/metadata/properties" ma:root="true" ma:fieldsID="7560572c196d033d1dc7b9ee9ac33f87" ns1:_="" ns2:_="" ns3:_="">
    <xsd:import namespace="http://schemas.microsoft.com/sharepoint/v3"/>
    <xsd:import namespace="caa283c9-bc41-4a9e-8b5d-f0b73fe6aae9"/>
    <xsd:import namespace="319c933f-1294-4168-a21c-184a2d4a8b28"/>
    <xsd:element name="properties">
      <xsd:complexType>
        <xsd:sequence>
          <xsd:element name="documentManagement">
            <xsd:complexType>
              <xsd:all>
                <xsd:element ref="ns2:Zust_x00e4_ndigkeit" minOccurs="0"/>
                <xsd:element ref="ns2:Zugriffsrechte" minOccurs="0"/>
                <xsd:element ref="ns2:Kommentar" minOccurs="0"/>
                <xsd:element ref="ns1:RatedBy" minOccurs="0"/>
                <xsd:element ref="ns1:Ratings" minOccurs="0"/>
                <xsd:element ref="ns1:LikedB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atedBy" ma:index="7" nillable="true" ma:displayName="Bewertet von" ma:description="Benutzer haben das Element bewertet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8" nillable="true" ma:displayName="Benutzerbewertungen" ma:description="Bewertungen für das Element" ma:hidden="true" ma:internalName="Ratings">
      <xsd:simpleType>
        <xsd:restriction base="dms:Note"/>
      </xsd:simpleType>
    </xsd:element>
    <xsd:element name="LikedBy" ma:index="9" nillable="true" ma:displayName="Gefällt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a283c9-bc41-4a9e-8b5d-f0b73fe6aae9" elementFormDefault="qualified">
    <xsd:import namespace="http://schemas.microsoft.com/office/2006/documentManagement/types"/>
    <xsd:import namespace="http://schemas.microsoft.com/office/infopath/2007/PartnerControls"/>
    <xsd:element name="Zust_x00e4_ndigkeit" ma:index="2" nillable="true" ma:displayName="Zuständigkeit" ma:internalName="Zust_x00e4_ndigkeit">
      <xsd:simpleType>
        <xsd:restriction base="dms:Text">
          <xsd:maxLength value="255"/>
        </xsd:restriction>
      </xsd:simpleType>
    </xsd:element>
    <xsd:element name="Zugriffsrechte" ma:index="3" nillable="true" ma:displayName="Zugriffsrechte" ma:description="außerhalb BK9" ma:internalName="Zugriffsrechte">
      <xsd:simpleType>
        <xsd:restriction base="dms:Note">
          <xsd:maxLength value="255"/>
        </xsd:restriction>
      </xsd:simpleType>
    </xsd:element>
    <xsd:element name="Kommentar" ma:index="4" nillable="true" ma:displayName="Kommentar" ma:internalName="Kommentar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9c933f-1294-4168-a21c-184a2d4a8b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A098F8-DE0E-4A7D-AEE8-9918D3EA2154}">
  <ds:schemaRefs>
    <ds:schemaRef ds:uri="http://schemas.microsoft.com/sharepoint/v3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319c933f-1294-4168-a21c-184a2d4a8b28"/>
    <ds:schemaRef ds:uri="caa283c9-bc41-4a9e-8b5d-f0b73fe6aae9"/>
  </ds:schemaRefs>
</ds:datastoreItem>
</file>

<file path=customXml/itemProps2.xml><?xml version="1.0" encoding="utf-8"?>
<ds:datastoreItem xmlns:ds="http://schemas.openxmlformats.org/officeDocument/2006/customXml" ds:itemID="{0E652931-1B43-4735-8532-1F3EC5DDC4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aa283c9-bc41-4a9e-8b5d-f0b73fe6aae9"/>
    <ds:schemaRef ds:uri="319c933f-1294-4168-a21c-184a2d4a8b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B15F7D-71F6-4183-B4F2-E84CD9E5ED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A1_EOG_TFE</vt:lpstr>
      <vt:lpstr>A2_KKAb</vt:lpstr>
      <vt:lpstr>Parameter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1996-10-17T05:27:31Z</dcterms:created>
  <dc:creator>Rene Wiederhold</dc:creator>
  <cp:keywords>KP;Kostenprüfung;Ausgangsniveau;KKAb;Kapitalkostenabzug;Transformationselement;TFE;Verzinsung;CAPEX</cp:keywords>
  <cp:lastModifiedBy>BK9a</cp:lastModifiedBy>
  <cp:lastPrinted>2014-07-28T11:45:55Z</cp:lastPrinted>
  <dcterms:modified xsi:type="dcterms:W3CDTF">2025-09-29T11:45:09Z</dcterms:modified>
  <dc:title>Berechnungshilfe zum Transformationselement - Beispiel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0x0101002115F60347C94649B1FE7A54F6552C0A</vt:lpwstr>
  </property>
</Properties>
</file>